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vv\Desktop\ФКГС 2020\Сметы СОГЛАСОВАННЫЕ дворы  скверы 2021\ДВОРЫ\Юрьева 1,6\"/>
    </mc:Choice>
  </mc:AlternateContent>
  <xr:revisionPtr revIDLastSave="0" documentId="13_ncr:1_{777EF774-DAC2-4FC3-A005-392D9CF92D95}" xr6:coauthVersionLast="36" xr6:coauthVersionMax="37" xr10:uidLastSave="{00000000-0000-0000-0000-000000000000}"/>
  <bookViews>
    <workbookView xWindow="32760" yWindow="32760" windowWidth="32760" windowHeight="32760" xr2:uid="{00000000-000D-0000-FFFF-FFFF00000000}"/>
  </bookViews>
  <sheets>
    <sheet name="Смета 11 граф c НР и СП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11 граф c НР и СП'!$21:$21</definedName>
    <definedName name="_xlnm.Print_Area" localSheetId="0">'Смета 11 граф c НР и СП'!$A$1:$K$175</definedName>
  </definedNames>
  <calcPr calcId="191029"/>
</workbook>
</file>

<file path=xl/calcChain.xml><?xml version="1.0" encoding="utf-8"?>
<calcChain xmlns="http://schemas.openxmlformats.org/spreadsheetml/2006/main">
  <c r="I173" i="5" l="1"/>
  <c r="I170" i="5"/>
  <c r="C173" i="5"/>
  <c r="C170" i="5"/>
  <c r="C165" i="5"/>
  <c r="C164" i="5"/>
  <c r="C163" i="5"/>
  <c r="C162" i="5"/>
  <c r="C161" i="5"/>
  <c r="C160" i="5"/>
  <c r="C159" i="5"/>
  <c r="C152" i="5"/>
  <c r="C151" i="5"/>
  <c r="B151" i="5"/>
  <c r="A151" i="5"/>
  <c r="H149" i="5"/>
  <c r="F149" i="5"/>
  <c r="D149" i="5"/>
  <c r="H148" i="5"/>
  <c r="D148" i="5"/>
  <c r="D140" i="5"/>
  <c r="C141" i="5"/>
  <c r="C140" i="5"/>
  <c r="B140" i="5"/>
  <c r="A140" i="5"/>
  <c r="C139" i="5"/>
  <c r="B138" i="5"/>
  <c r="A138" i="5"/>
  <c r="C137" i="5"/>
  <c r="B136" i="5"/>
  <c r="A136" i="5"/>
  <c r="H134" i="5"/>
  <c r="D134" i="5"/>
  <c r="H133" i="5"/>
  <c r="D133" i="5"/>
  <c r="D131" i="5"/>
  <c r="C132" i="5"/>
  <c r="C131" i="5"/>
  <c r="B131" i="5"/>
  <c r="A131" i="5"/>
  <c r="C130" i="5"/>
  <c r="C129" i="5"/>
  <c r="B129" i="5"/>
  <c r="A129" i="5"/>
  <c r="C128" i="5"/>
  <c r="C127" i="5"/>
  <c r="B127" i="5"/>
  <c r="A127" i="5"/>
  <c r="H125" i="5"/>
  <c r="D125" i="5"/>
  <c r="H124" i="5"/>
  <c r="D124" i="5"/>
  <c r="D122" i="5"/>
  <c r="C123" i="5"/>
  <c r="C122" i="5"/>
  <c r="B122" i="5"/>
  <c r="A122" i="5"/>
  <c r="H120" i="5"/>
  <c r="F120" i="5"/>
  <c r="D120" i="5"/>
  <c r="H119" i="5"/>
  <c r="D119" i="5"/>
  <c r="D111" i="5"/>
  <c r="C112" i="5"/>
  <c r="C111" i="5"/>
  <c r="B111" i="5"/>
  <c r="A111" i="5"/>
  <c r="C110" i="5"/>
  <c r="B109" i="5"/>
  <c r="A109" i="5"/>
  <c r="C108" i="5"/>
  <c r="C107" i="5"/>
  <c r="B107" i="5"/>
  <c r="A107" i="5"/>
  <c r="C106" i="5"/>
  <c r="C105" i="5"/>
  <c r="B105" i="5"/>
  <c r="A105" i="5"/>
  <c r="H103" i="5"/>
  <c r="F103" i="5"/>
  <c r="D103" i="5"/>
  <c r="H102" i="5"/>
  <c r="D102" i="5"/>
  <c r="C94" i="5"/>
  <c r="C93" i="5"/>
  <c r="B93" i="5"/>
  <c r="A93" i="5"/>
  <c r="C92" i="5"/>
  <c r="B91" i="5"/>
  <c r="A91" i="5"/>
  <c r="C90" i="5"/>
  <c r="B89" i="5"/>
  <c r="A89" i="5"/>
  <c r="C88" i="5"/>
  <c r="C87" i="5"/>
  <c r="B87" i="5"/>
  <c r="A87" i="5"/>
  <c r="C86" i="5"/>
  <c r="C85" i="5"/>
  <c r="B85" i="5"/>
  <c r="A85" i="5"/>
  <c r="C84" i="5"/>
  <c r="C83" i="5"/>
  <c r="B83" i="5"/>
  <c r="A83" i="5"/>
  <c r="C82" i="5"/>
  <c r="C81" i="5"/>
  <c r="B81" i="5"/>
  <c r="A81" i="5"/>
  <c r="C80" i="5"/>
  <c r="C79" i="5"/>
  <c r="B79" i="5"/>
  <c r="A79" i="5"/>
  <c r="C78" i="5"/>
  <c r="B77" i="5"/>
  <c r="A77" i="5"/>
  <c r="C76" i="5"/>
  <c r="B75" i="5"/>
  <c r="A75" i="5"/>
  <c r="C74" i="5"/>
  <c r="B73" i="5"/>
  <c r="A73" i="5"/>
  <c r="C72" i="5"/>
  <c r="B71" i="5"/>
  <c r="A71" i="5"/>
  <c r="H69" i="5"/>
  <c r="F69" i="5"/>
  <c r="D69" i="5"/>
  <c r="H68" i="5"/>
  <c r="D68" i="5"/>
  <c r="C60" i="5"/>
  <c r="C59" i="5"/>
  <c r="B59" i="5"/>
  <c r="A59" i="5"/>
  <c r="C58" i="5"/>
  <c r="C57" i="5"/>
  <c r="B57" i="5"/>
  <c r="A57" i="5"/>
  <c r="H55" i="5"/>
  <c r="F55" i="5"/>
  <c r="D55" i="5"/>
  <c r="H54" i="5"/>
  <c r="D54" i="5"/>
  <c r="D46" i="5"/>
  <c r="C47" i="5"/>
  <c r="C46" i="5"/>
  <c r="B46" i="5"/>
  <c r="A46" i="5"/>
  <c r="H44" i="5"/>
  <c r="F44" i="5"/>
  <c r="D44" i="5"/>
  <c r="H43" i="5"/>
  <c r="D43" i="5"/>
  <c r="D35" i="5"/>
  <c r="C36" i="5"/>
  <c r="C35" i="5"/>
  <c r="B35" i="5"/>
  <c r="A35" i="5"/>
  <c r="H33" i="5"/>
  <c r="F33" i="5"/>
  <c r="D33" i="5"/>
  <c r="H32" i="5"/>
  <c r="D32" i="5"/>
  <c r="D24" i="5"/>
  <c r="C25" i="5"/>
  <c r="C24" i="5"/>
  <c r="B24" i="5"/>
  <c r="A24" i="5"/>
  <c r="A23" i="5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1" i="3"/>
  <c r="CX1" i="3"/>
  <c r="CY1" i="3"/>
  <c r="CZ1" i="3"/>
  <c r="DA1" i="3"/>
  <c r="DB1" i="3"/>
  <c r="DC1" i="3"/>
  <c r="A2" i="3"/>
  <c r="CX2" i="3"/>
  <c r="CY2" i="3"/>
  <c r="CZ2" i="3"/>
  <c r="DA2" i="3"/>
  <c r="DB2" i="3"/>
  <c r="DC2" i="3"/>
  <c r="A3" i="3"/>
  <c r="CX3" i="3"/>
  <c r="CY3" i="3"/>
  <c r="CZ3" i="3"/>
  <c r="DB3" i="3" s="1"/>
  <c r="DA3" i="3"/>
  <c r="DC3" i="3"/>
  <c r="A4" i="3"/>
  <c r="CX4" i="3"/>
  <c r="CY4" i="3"/>
  <c r="CZ4" i="3"/>
  <c r="DB4" i="3" s="1"/>
  <c r="DA4" i="3"/>
  <c r="DC4" i="3"/>
  <c r="A5" i="3"/>
  <c r="CX5" i="3"/>
  <c r="CY5" i="3"/>
  <c r="CZ5" i="3"/>
  <c r="DB5" i="3" s="1"/>
  <c r="DA5" i="3"/>
  <c r="DC5" i="3"/>
  <c r="A6" i="3"/>
  <c r="CX6" i="3"/>
  <c r="CY6" i="3"/>
  <c r="CZ6" i="3"/>
  <c r="DA6" i="3"/>
  <c r="DB6" i="3"/>
  <c r="DC6" i="3"/>
  <c r="A7" i="3"/>
  <c r="CX7" i="3"/>
  <c r="CY7" i="3"/>
  <c r="CZ7" i="3"/>
  <c r="DB7" i="3" s="1"/>
  <c r="DA7" i="3"/>
  <c r="DC7" i="3"/>
  <c r="A8" i="3"/>
  <c r="CX8" i="3"/>
  <c r="CY8" i="3"/>
  <c r="CZ8" i="3"/>
  <c r="DB8" i="3" s="1"/>
  <c r="DA8" i="3"/>
  <c r="DC8" i="3"/>
  <c r="A9" i="3"/>
  <c r="CX9" i="3"/>
  <c r="CY9" i="3"/>
  <c r="CZ9" i="3"/>
  <c r="DA9" i="3"/>
  <c r="DB9" i="3"/>
  <c r="DC9" i="3"/>
  <c r="A10" i="3"/>
  <c r="CX10" i="3"/>
  <c r="CY10" i="3"/>
  <c r="CZ10" i="3"/>
  <c r="DB10" i="3" s="1"/>
  <c r="DA10" i="3"/>
  <c r="DC10" i="3"/>
  <c r="A11" i="3"/>
  <c r="CX11" i="3"/>
  <c r="CY11" i="3"/>
  <c r="CZ11" i="3"/>
  <c r="DB11" i="3" s="1"/>
  <c r="DA11" i="3"/>
  <c r="DC11" i="3"/>
  <c r="A12" i="3"/>
  <c r="CX12" i="3"/>
  <c r="CY12" i="3"/>
  <c r="CZ12" i="3"/>
  <c r="DB12" i="3" s="1"/>
  <c r="DA12" i="3"/>
  <c r="DC12" i="3"/>
  <c r="A13" i="3"/>
  <c r="CX13" i="3"/>
  <c r="CY13" i="3"/>
  <c r="CZ13" i="3"/>
  <c r="DB13" i="3" s="1"/>
  <c r="DA13" i="3"/>
  <c r="DC13" i="3"/>
  <c r="A14" i="3"/>
  <c r="CX14" i="3"/>
  <c r="CY14" i="3"/>
  <c r="CZ14" i="3"/>
  <c r="DA14" i="3"/>
  <c r="DB14" i="3"/>
  <c r="DC14" i="3"/>
  <c r="A15" i="3"/>
  <c r="CX15" i="3"/>
  <c r="CY15" i="3"/>
  <c r="CZ15" i="3"/>
  <c r="DB15" i="3" s="1"/>
  <c r="DA15" i="3"/>
  <c r="DC15" i="3"/>
  <c r="A16" i="3"/>
  <c r="CX16" i="3"/>
  <c r="CY16" i="3"/>
  <c r="CZ16" i="3"/>
  <c r="DB16" i="3" s="1"/>
  <c r="DA16" i="3"/>
  <c r="DC16" i="3"/>
  <c r="A17" i="3"/>
  <c r="CX17" i="3"/>
  <c r="CY17" i="3"/>
  <c r="CZ17" i="3"/>
  <c r="DA17" i="3"/>
  <c r="DB17" i="3"/>
  <c r="DC17" i="3"/>
  <c r="A18" i="3"/>
  <c r="CX18" i="3"/>
  <c r="CY18" i="3"/>
  <c r="CZ18" i="3"/>
  <c r="DA18" i="3"/>
  <c r="DB18" i="3"/>
  <c r="DC18" i="3"/>
  <c r="A19" i="3"/>
  <c r="CX19" i="3"/>
  <c r="CY19" i="3"/>
  <c r="CZ19" i="3"/>
  <c r="DB19" i="3" s="1"/>
  <c r="DA19" i="3"/>
  <c r="DC19" i="3"/>
  <c r="A20" i="3"/>
  <c r="CX20" i="3"/>
  <c r="CY20" i="3"/>
  <c r="CZ20" i="3"/>
  <c r="DB20" i="3" s="1"/>
  <c r="DA20" i="3"/>
  <c r="DC20" i="3"/>
  <c r="A21" i="3"/>
  <c r="CY21" i="3"/>
  <c r="CZ21" i="3"/>
  <c r="DA21" i="3"/>
  <c r="DB21" i="3"/>
  <c r="DC21" i="3"/>
  <c r="A22" i="3"/>
  <c r="CY22" i="3"/>
  <c r="CZ22" i="3"/>
  <c r="DA22" i="3"/>
  <c r="DB22" i="3"/>
  <c r="DC22" i="3"/>
  <c r="A23" i="3"/>
  <c r="CY23" i="3"/>
  <c r="CZ23" i="3"/>
  <c r="DB23" i="3" s="1"/>
  <c r="DA23" i="3"/>
  <c r="DC23" i="3"/>
  <c r="A24" i="3"/>
  <c r="CY24" i="3"/>
  <c r="CZ24" i="3"/>
  <c r="DB24" i="3" s="1"/>
  <c r="DA24" i="3"/>
  <c r="DC24" i="3"/>
  <c r="A25" i="3"/>
  <c r="CY25" i="3"/>
  <c r="CZ25" i="3"/>
  <c r="DA25" i="3"/>
  <c r="DB25" i="3"/>
  <c r="DC25" i="3"/>
  <c r="A26" i="3"/>
  <c r="CY26" i="3"/>
  <c r="CZ26" i="3"/>
  <c r="DA26" i="3"/>
  <c r="DB26" i="3"/>
  <c r="DC26" i="3"/>
  <c r="A27" i="3"/>
  <c r="CY27" i="3"/>
  <c r="CZ27" i="3"/>
  <c r="DB27" i="3" s="1"/>
  <c r="DA27" i="3"/>
  <c r="DC27" i="3"/>
  <c r="A28" i="3"/>
  <c r="CY28" i="3"/>
  <c r="CZ28" i="3"/>
  <c r="DB28" i="3" s="1"/>
  <c r="DA28" i="3"/>
  <c r="DC28" i="3"/>
  <c r="A29" i="3"/>
  <c r="CY29" i="3"/>
  <c r="CZ29" i="3"/>
  <c r="DA29" i="3"/>
  <c r="DB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B33" i="3" s="1"/>
  <c r="DA33" i="3"/>
  <c r="DC33" i="3"/>
  <c r="A34" i="3"/>
  <c r="CY34" i="3"/>
  <c r="CZ34" i="3"/>
  <c r="DA34" i="3"/>
  <c r="DB34" i="3"/>
  <c r="DC34" i="3"/>
  <c r="A35" i="3"/>
  <c r="CY35" i="3"/>
  <c r="CZ35" i="3"/>
  <c r="DB35" i="3" s="1"/>
  <c r="DA35" i="3"/>
  <c r="DC35" i="3"/>
  <c r="A36" i="3"/>
  <c r="CY36" i="3"/>
  <c r="CZ36" i="3"/>
  <c r="DB36" i="3" s="1"/>
  <c r="DA36" i="3"/>
  <c r="DC36" i="3"/>
  <c r="A37" i="3"/>
  <c r="CY37" i="3"/>
  <c r="CZ37" i="3"/>
  <c r="DA37" i="3"/>
  <c r="DB37" i="3"/>
  <c r="DC37" i="3"/>
  <c r="A38" i="3"/>
  <c r="CY38" i="3"/>
  <c r="CZ38" i="3"/>
  <c r="DA38" i="3"/>
  <c r="DB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A41" i="3"/>
  <c r="DB41" i="3"/>
  <c r="DC41" i="3"/>
  <c r="A42" i="3"/>
  <c r="CY42" i="3"/>
  <c r="CZ42" i="3"/>
  <c r="DA42" i="3"/>
  <c r="DB42" i="3"/>
  <c r="DC42" i="3"/>
  <c r="A43" i="3"/>
  <c r="CY43" i="3"/>
  <c r="CZ43" i="3"/>
  <c r="DB43" i="3" s="1"/>
  <c r="DA43" i="3"/>
  <c r="DC43" i="3"/>
  <c r="A44" i="3"/>
  <c r="CY44" i="3"/>
  <c r="CZ44" i="3"/>
  <c r="DB44" i="3" s="1"/>
  <c r="DA44" i="3"/>
  <c r="DC44" i="3"/>
  <c r="A45" i="3"/>
  <c r="CY45" i="3"/>
  <c r="CZ45" i="3"/>
  <c r="DA45" i="3"/>
  <c r="DB45" i="3"/>
  <c r="DC45" i="3"/>
  <c r="A46" i="3"/>
  <c r="CY46" i="3"/>
  <c r="CZ46" i="3"/>
  <c r="DB46" i="3" s="1"/>
  <c r="DA46" i="3"/>
  <c r="DC46" i="3"/>
  <c r="A47" i="3"/>
  <c r="CY47" i="3"/>
  <c r="CZ47" i="3"/>
  <c r="DB47" i="3" s="1"/>
  <c r="DA47" i="3"/>
  <c r="DC47" i="3"/>
  <c r="A48" i="3"/>
  <c r="CX48" i="3"/>
  <c r="CY48" i="3"/>
  <c r="CZ48" i="3"/>
  <c r="DB48" i="3" s="1"/>
  <c r="DA48" i="3"/>
  <c r="DC48" i="3"/>
  <c r="A49" i="3"/>
  <c r="CX49" i="3"/>
  <c r="CY49" i="3"/>
  <c r="CZ49" i="3"/>
  <c r="DA49" i="3"/>
  <c r="DB49" i="3"/>
  <c r="DC49" i="3"/>
  <c r="A50" i="3"/>
  <c r="CX50" i="3"/>
  <c r="CY50" i="3"/>
  <c r="CZ50" i="3"/>
  <c r="DB50" i="3" s="1"/>
  <c r="DA50" i="3"/>
  <c r="DC50" i="3"/>
  <c r="A51" i="3"/>
  <c r="CX51" i="3"/>
  <c r="CY51" i="3"/>
  <c r="CZ51" i="3"/>
  <c r="DB51" i="3" s="1"/>
  <c r="DA51" i="3"/>
  <c r="DC51" i="3"/>
  <c r="A52" i="3"/>
  <c r="CX52" i="3"/>
  <c r="CY52" i="3"/>
  <c r="CZ52" i="3"/>
  <c r="DB52" i="3" s="1"/>
  <c r="DA52" i="3"/>
  <c r="DC52" i="3"/>
  <c r="A53" i="3"/>
  <c r="CX53" i="3"/>
  <c r="CY53" i="3"/>
  <c r="CZ53" i="3"/>
  <c r="DA53" i="3"/>
  <c r="DB53" i="3"/>
  <c r="DC53" i="3"/>
  <c r="A54" i="3"/>
  <c r="CX54" i="3"/>
  <c r="CY54" i="3"/>
  <c r="CZ54" i="3"/>
  <c r="DA54" i="3"/>
  <c r="DB54" i="3"/>
  <c r="DC54" i="3"/>
  <c r="A55" i="3"/>
  <c r="CX55" i="3"/>
  <c r="CY55" i="3"/>
  <c r="CZ55" i="3"/>
  <c r="DB55" i="3" s="1"/>
  <c r="DA55" i="3"/>
  <c r="DC55" i="3"/>
  <c r="A56" i="3"/>
  <c r="CX56" i="3"/>
  <c r="CY56" i="3"/>
  <c r="CZ56" i="3"/>
  <c r="DB56" i="3" s="1"/>
  <c r="DA56" i="3"/>
  <c r="DC56" i="3"/>
  <c r="A57" i="3"/>
  <c r="CX57" i="3"/>
  <c r="CY57" i="3"/>
  <c r="CZ57" i="3"/>
  <c r="DA57" i="3"/>
  <c r="DB57" i="3"/>
  <c r="DC57" i="3"/>
  <c r="A58" i="3"/>
  <c r="CX58" i="3"/>
  <c r="CY58" i="3"/>
  <c r="CZ58" i="3"/>
  <c r="DA58" i="3"/>
  <c r="DB58" i="3"/>
  <c r="DC58" i="3"/>
  <c r="A59" i="3"/>
  <c r="CX59" i="3"/>
  <c r="CY59" i="3"/>
  <c r="CZ59" i="3"/>
  <c r="DB59" i="3" s="1"/>
  <c r="DA59" i="3"/>
  <c r="DC59" i="3"/>
  <c r="A60" i="3"/>
  <c r="CX60" i="3"/>
  <c r="CY60" i="3"/>
  <c r="CZ60" i="3"/>
  <c r="DB60" i="3" s="1"/>
  <c r="DA60" i="3"/>
  <c r="DC60" i="3"/>
  <c r="A61" i="3"/>
  <c r="CX61" i="3"/>
  <c r="CY61" i="3"/>
  <c r="CZ61" i="3"/>
  <c r="DB61" i="3" s="1"/>
  <c r="DA61" i="3"/>
  <c r="DC61" i="3"/>
  <c r="A62" i="3"/>
  <c r="CX62" i="3"/>
  <c r="CY62" i="3"/>
  <c r="CZ62" i="3"/>
  <c r="DB62" i="3" s="1"/>
  <c r="DA62" i="3"/>
  <c r="DC62" i="3"/>
  <c r="A63" i="3"/>
  <c r="CX63" i="3"/>
  <c r="CY63" i="3"/>
  <c r="CZ63" i="3"/>
  <c r="DB63" i="3" s="1"/>
  <c r="DA63" i="3"/>
  <c r="DC63" i="3"/>
  <c r="A64" i="3"/>
  <c r="CX64" i="3"/>
  <c r="CY64" i="3"/>
  <c r="CZ64" i="3"/>
  <c r="DB64" i="3" s="1"/>
  <c r="DA64" i="3"/>
  <c r="DC64" i="3"/>
  <c r="A65" i="3"/>
  <c r="CX65" i="3"/>
  <c r="CY65" i="3"/>
  <c r="CZ65" i="3"/>
  <c r="DB65" i="3" s="1"/>
  <c r="DA65" i="3"/>
  <c r="DC65" i="3"/>
  <c r="A66" i="3"/>
  <c r="CX66" i="3"/>
  <c r="CY66" i="3"/>
  <c r="CZ66" i="3"/>
  <c r="DA66" i="3"/>
  <c r="DB66" i="3"/>
  <c r="DC66" i="3"/>
  <c r="A67" i="3"/>
  <c r="CX67" i="3"/>
  <c r="CY67" i="3"/>
  <c r="CZ67" i="3"/>
  <c r="DB67" i="3" s="1"/>
  <c r="DA67" i="3"/>
  <c r="DC67" i="3"/>
  <c r="A68" i="3"/>
  <c r="CX68" i="3"/>
  <c r="CY68" i="3"/>
  <c r="CZ68" i="3"/>
  <c r="DB68" i="3" s="1"/>
  <c r="DA68" i="3"/>
  <c r="DC68" i="3"/>
  <c r="A69" i="3"/>
  <c r="CX69" i="3"/>
  <c r="CY69" i="3"/>
  <c r="CZ69" i="3"/>
  <c r="DA69" i="3"/>
  <c r="DB69" i="3"/>
  <c r="DC69" i="3"/>
  <c r="A70" i="3"/>
  <c r="CX70" i="3"/>
  <c r="CY70" i="3"/>
  <c r="CZ70" i="3"/>
  <c r="DA70" i="3"/>
  <c r="DB70" i="3"/>
  <c r="DC70" i="3"/>
  <c r="A71" i="3"/>
  <c r="CX71" i="3"/>
  <c r="CY71" i="3"/>
  <c r="CZ71" i="3"/>
  <c r="DB71" i="3" s="1"/>
  <c r="DA71" i="3"/>
  <c r="DC71" i="3"/>
  <c r="A72" i="3"/>
  <c r="CX72" i="3"/>
  <c r="CY72" i="3"/>
  <c r="CZ72" i="3"/>
  <c r="DB72" i="3" s="1"/>
  <c r="DA72" i="3"/>
  <c r="DC72" i="3"/>
  <c r="A73" i="3"/>
  <c r="CX73" i="3"/>
  <c r="CY73" i="3"/>
  <c r="CZ73" i="3"/>
  <c r="DA73" i="3"/>
  <c r="DB73" i="3"/>
  <c r="DC73" i="3"/>
  <c r="A74" i="3"/>
  <c r="CX74" i="3"/>
  <c r="CY74" i="3"/>
  <c r="CZ74" i="3"/>
  <c r="DA74" i="3"/>
  <c r="DB74" i="3"/>
  <c r="DC74" i="3"/>
  <c r="A75" i="3"/>
  <c r="CX75" i="3"/>
  <c r="CY75" i="3"/>
  <c r="CZ75" i="3"/>
  <c r="DB75" i="3" s="1"/>
  <c r="DA75" i="3"/>
  <c r="DC75" i="3"/>
  <c r="A76" i="3"/>
  <c r="CX76" i="3"/>
  <c r="CY76" i="3"/>
  <c r="CZ76" i="3"/>
  <c r="DB76" i="3" s="1"/>
  <c r="DA76" i="3"/>
  <c r="DC76" i="3"/>
  <c r="A77" i="3"/>
  <c r="CX77" i="3"/>
  <c r="CY77" i="3"/>
  <c r="CZ77" i="3"/>
  <c r="DB77" i="3" s="1"/>
  <c r="DA77" i="3"/>
  <c r="DC77" i="3"/>
  <c r="A78" i="3"/>
  <c r="CX78" i="3"/>
  <c r="CY78" i="3"/>
  <c r="CZ78" i="3"/>
  <c r="DB78" i="3" s="1"/>
  <c r="DA78" i="3"/>
  <c r="DC78" i="3"/>
  <c r="A79" i="3"/>
  <c r="CX79" i="3"/>
  <c r="CY79" i="3"/>
  <c r="CZ79" i="3"/>
  <c r="DB79" i="3" s="1"/>
  <c r="DA79" i="3"/>
  <c r="DC79" i="3"/>
  <c r="A80" i="3"/>
  <c r="CX80" i="3"/>
  <c r="CY80" i="3"/>
  <c r="CZ80" i="3"/>
  <c r="DB80" i="3" s="1"/>
  <c r="DA80" i="3"/>
  <c r="DC80" i="3"/>
  <c r="A81" i="3"/>
  <c r="CX81" i="3"/>
  <c r="CY81" i="3"/>
  <c r="CZ81" i="3"/>
  <c r="DB81" i="3" s="1"/>
  <c r="DA81" i="3"/>
  <c r="DC81" i="3"/>
  <c r="A82" i="3"/>
  <c r="CX82" i="3"/>
  <c r="CY82" i="3"/>
  <c r="CZ82" i="3"/>
  <c r="DA82" i="3"/>
  <c r="DB82" i="3"/>
  <c r="DC8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AC32" i="1"/>
  <c r="AE32" i="1"/>
  <c r="AF32" i="1"/>
  <c r="AG32" i="1"/>
  <c r="CU32" i="1" s="1"/>
  <c r="T32" i="1" s="1"/>
  <c r="AH32" i="1"/>
  <c r="AI32" i="1"/>
  <c r="AJ32" i="1"/>
  <c r="CX32" i="1" s="1"/>
  <c r="W32" i="1" s="1"/>
  <c r="FR32" i="1"/>
  <c r="GL32" i="1"/>
  <c r="GO32" i="1"/>
  <c r="GP32" i="1"/>
  <c r="GV32" i="1"/>
  <c r="HC32" i="1"/>
  <c r="GX32" i="1" s="1"/>
  <c r="C33" i="1"/>
  <c r="D33" i="1"/>
  <c r="AC33" i="1"/>
  <c r="CQ33" i="1" s="1"/>
  <c r="P33" i="1" s="1"/>
  <c r="U35" i="5" s="1"/>
  <c r="AE33" i="1"/>
  <c r="F36" i="5" s="1"/>
  <c r="AF33" i="1"/>
  <c r="AG33" i="1"/>
  <c r="AH33" i="1"/>
  <c r="J35" i="5" s="1"/>
  <c r="AI33" i="1"/>
  <c r="AJ33" i="1"/>
  <c r="CT33" i="1"/>
  <c r="S33" i="1" s="1"/>
  <c r="CU33" i="1"/>
  <c r="T33" i="1" s="1"/>
  <c r="CX33" i="1"/>
  <c r="W33" i="1" s="1"/>
  <c r="FR33" i="1"/>
  <c r="BY62" i="1" s="1"/>
  <c r="BY30" i="1" s="1"/>
  <c r="GL33" i="1"/>
  <c r="BZ62" i="1" s="1"/>
  <c r="GO33" i="1"/>
  <c r="GP33" i="1"/>
  <c r="GV33" i="1"/>
  <c r="HC33" i="1" s="1"/>
  <c r="GX33" i="1" s="1"/>
  <c r="C34" i="1"/>
  <c r="D34" i="1"/>
  <c r="AC34" i="1"/>
  <c r="AE34" i="1"/>
  <c r="F47" i="5" s="1"/>
  <c r="AF34" i="1"/>
  <c r="AG34" i="1"/>
  <c r="CU34" i="1" s="1"/>
  <c r="T34" i="1" s="1"/>
  <c r="AH34" i="1"/>
  <c r="J46" i="5" s="1"/>
  <c r="AI34" i="1"/>
  <c r="AJ34" i="1"/>
  <c r="CV34" i="1"/>
  <c r="U34" i="1" s="1"/>
  <c r="CX34" i="1"/>
  <c r="W34" i="1" s="1"/>
  <c r="FR34" i="1"/>
  <c r="GL34" i="1"/>
  <c r="GO34" i="1"/>
  <c r="GP34" i="1"/>
  <c r="GV34" i="1"/>
  <c r="HC34" i="1" s="1"/>
  <c r="GX34" i="1" s="1"/>
  <c r="I35" i="1"/>
  <c r="D57" i="5" s="1"/>
  <c r="AC35" i="1"/>
  <c r="CQ35" i="1" s="1"/>
  <c r="AD35" i="1"/>
  <c r="AE35" i="1"/>
  <c r="F58" i="5" s="1"/>
  <c r="AF35" i="1"/>
  <c r="AG35" i="1"/>
  <c r="AH35" i="1"/>
  <c r="AI35" i="1"/>
  <c r="J58" i="5" s="1"/>
  <c r="AJ35" i="1"/>
  <c r="CX35" i="1" s="1"/>
  <c r="CR35" i="1"/>
  <c r="CS35" i="1"/>
  <c r="CU35" i="1"/>
  <c r="CW35" i="1"/>
  <c r="FR35" i="1"/>
  <c r="GL35" i="1"/>
  <c r="GO35" i="1"/>
  <c r="GP35" i="1"/>
  <c r="CD62" i="1" s="1"/>
  <c r="CD30" i="1" s="1"/>
  <c r="GV35" i="1"/>
  <c r="HC35" i="1" s="1"/>
  <c r="C36" i="1"/>
  <c r="D36" i="1"/>
  <c r="I36" i="1"/>
  <c r="AC36" i="1"/>
  <c r="CQ36" i="1" s="1"/>
  <c r="P36" i="1" s="1"/>
  <c r="U59" i="5" s="1"/>
  <c r="AD36" i="1"/>
  <c r="F59" i="5" s="1"/>
  <c r="AE36" i="1"/>
  <c r="F60" i="5" s="1"/>
  <c r="AF36" i="1"/>
  <c r="AG36" i="1"/>
  <c r="CU36" i="1" s="1"/>
  <c r="T36" i="1" s="1"/>
  <c r="AH36" i="1"/>
  <c r="AI36" i="1"/>
  <c r="J60" i="5" s="1"/>
  <c r="AJ36" i="1"/>
  <c r="CX36" i="1" s="1"/>
  <c r="CS36" i="1"/>
  <c r="R36" i="1" s="1"/>
  <c r="FR36" i="1"/>
  <c r="GL36" i="1"/>
  <c r="GO36" i="1"/>
  <c r="GP36" i="1"/>
  <c r="GV36" i="1"/>
  <c r="HC36" i="1" s="1"/>
  <c r="GX36" i="1" s="1"/>
  <c r="AC37" i="1"/>
  <c r="AE37" i="1"/>
  <c r="AF37" i="1"/>
  <c r="E72" i="5" s="1"/>
  <c r="AG37" i="1"/>
  <c r="CU37" i="1" s="1"/>
  <c r="AH37" i="1"/>
  <c r="J71" i="5" s="1"/>
  <c r="AI37" i="1"/>
  <c r="AJ37" i="1"/>
  <c r="CT37" i="1"/>
  <c r="CV37" i="1"/>
  <c r="CX37" i="1"/>
  <c r="FR37" i="1"/>
  <c r="GL37" i="1"/>
  <c r="GO37" i="1"/>
  <c r="GP37" i="1"/>
  <c r="GV37" i="1"/>
  <c r="HC37" i="1"/>
  <c r="I38" i="1"/>
  <c r="D73" i="5" s="1"/>
  <c r="AC38" i="1"/>
  <c r="AD38" i="1"/>
  <c r="AE38" i="1"/>
  <c r="F74" i="5" s="1"/>
  <c r="AF38" i="1"/>
  <c r="AG38" i="1"/>
  <c r="AH38" i="1"/>
  <c r="AI38" i="1"/>
  <c r="J74" i="5" s="1"/>
  <c r="AJ38" i="1"/>
  <c r="CX38" i="1" s="1"/>
  <c r="CQ38" i="1"/>
  <c r="CS38" i="1"/>
  <c r="CU38" i="1"/>
  <c r="FR38" i="1"/>
  <c r="GL38" i="1"/>
  <c r="GO38" i="1"/>
  <c r="GP38" i="1"/>
  <c r="GV38" i="1"/>
  <c r="HC38" i="1"/>
  <c r="I39" i="1"/>
  <c r="D75" i="5" s="1"/>
  <c r="AC39" i="1"/>
  <c r="AE39" i="1"/>
  <c r="F76" i="5" s="1"/>
  <c r="AF39" i="1"/>
  <c r="E76" i="5" s="1"/>
  <c r="AG39" i="1"/>
  <c r="CU39" i="1" s="1"/>
  <c r="AH39" i="1"/>
  <c r="J75" i="5" s="1"/>
  <c r="AI39" i="1"/>
  <c r="AJ39" i="1"/>
  <c r="CX39" i="1"/>
  <c r="W39" i="1" s="1"/>
  <c r="FR39" i="1"/>
  <c r="GL39" i="1"/>
  <c r="GO39" i="1"/>
  <c r="GP39" i="1"/>
  <c r="GV39" i="1"/>
  <c r="HC39" i="1" s="1"/>
  <c r="GX39" i="1" s="1"/>
  <c r="I40" i="1"/>
  <c r="D77" i="5" s="1"/>
  <c r="AC40" i="1"/>
  <c r="CQ40" i="1" s="1"/>
  <c r="P40" i="1" s="1"/>
  <c r="U77" i="5" s="1"/>
  <c r="AD40" i="1"/>
  <c r="F77" i="5" s="1"/>
  <c r="AE40" i="1"/>
  <c r="F78" i="5" s="1"/>
  <c r="AF40" i="1"/>
  <c r="AG40" i="1"/>
  <c r="CU40" i="1" s="1"/>
  <c r="T40" i="1" s="1"/>
  <c r="AH40" i="1"/>
  <c r="AI40" i="1"/>
  <c r="J78" i="5" s="1"/>
  <c r="AJ40" i="1"/>
  <c r="CX40" i="1" s="1"/>
  <c r="W40" i="1" s="1"/>
  <c r="CS40" i="1"/>
  <c r="CW40" i="1"/>
  <c r="FR40" i="1"/>
  <c r="GL40" i="1"/>
  <c r="GO40" i="1"/>
  <c r="GP40" i="1"/>
  <c r="GV40" i="1"/>
  <c r="HC40" i="1" s="1"/>
  <c r="I41" i="1"/>
  <c r="D79" i="5" s="1"/>
  <c r="AC41" i="1"/>
  <c r="AE41" i="1"/>
  <c r="F80" i="5" s="1"/>
  <c r="AF41" i="1"/>
  <c r="E80" i="5" s="1"/>
  <c r="AG41" i="1"/>
  <c r="CU41" i="1" s="1"/>
  <c r="T41" i="1" s="1"/>
  <c r="AH41" i="1"/>
  <c r="J79" i="5" s="1"/>
  <c r="AI41" i="1"/>
  <c r="AJ41" i="1"/>
  <c r="CT41" i="1"/>
  <c r="S41" i="1" s="1"/>
  <c r="CX41" i="1"/>
  <c r="W41" i="1" s="1"/>
  <c r="FR41" i="1"/>
  <c r="GL41" i="1"/>
  <c r="GO41" i="1"/>
  <c r="GP41" i="1"/>
  <c r="GV41" i="1"/>
  <c r="GX41" i="1"/>
  <c r="HC41" i="1"/>
  <c r="I42" i="1"/>
  <c r="AC42" i="1"/>
  <c r="AE42" i="1"/>
  <c r="F82" i="5" s="1"/>
  <c r="AF42" i="1"/>
  <c r="AG42" i="1"/>
  <c r="AH42" i="1"/>
  <c r="AI42" i="1"/>
  <c r="J82" i="5" s="1"/>
  <c r="AJ42" i="1"/>
  <c r="CX42" i="1" s="1"/>
  <c r="W42" i="1" s="1"/>
  <c r="CQ42" i="1"/>
  <c r="CU42" i="1"/>
  <c r="T42" i="1" s="1"/>
  <c r="CW42" i="1"/>
  <c r="V42" i="1" s="1"/>
  <c r="FR42" i="1"/>
  <c r="GL42" i="1"/>
  <c r="GO42" i="1"/>
  <c r="GP42" i="1"/>
  <c r="GV42" i="1"/>
  <c r="HC42" i="1"/>
  <c r="GX42" i="1" s="1"/>
  <c r="I43" i="1"/>
  <c r="D83" i="5" s="1"/>
  <c r="AC43" i="1"/>
  <c r="AE43" i="1"/>
  <c r="F84" i="5" s="1"/>
  <c r="AF43" i="1"/>
  <c r="E84" i="5" s="1"/>
  <c r="AG43" i="1"/>
  <c r="CU43" i="1" s="1"/>
  <c r="AH43" i="1"/>
  <c r="J83" i="5" s="1"/>
  <c r="AI43" i="1"/>
  <c r="AJ43" i="1"/>
  <c r="CX43" i="1"/>
  <c r="W43" i="1" s="1"/>
  <c r="FR43" i="1"/>
  <c r="GL43" i="1"/>
  <c r="GN43" i="1"/>
  <c r="GP43" i="1"/>
  <c r="GV43" i="1"/>
  <c r="HC43" i="1"/>
  <c r="GX43" i="1" s="1"/>
  <c r="I44" i="1"/>
  <c r="AC44" i="1"/>
  <c r="AE44" i="1"/>
  <c r="F86" i="5" s="1"/>
  <c r="AF44" i="1"/>
  <c r="AG44" i="1"/>
  <c r="AH44" i="1"/>
  <c r="AI44" i="1"/>
  <c r="J86" i="5" s="1"/>
  <c r="AJ44" i="1"/>
  <c r="CX44" i="1" s="1"/>
  <c r="W44" i="1" s="1"/>
  <c r="CQ44" i="1"/>
  <c r="P44" i="1" s="1"/>
  <c r="U85" i="5" s="1"/>
  <c r="CU44" i="1"/>
  <c r="CW44" i="1"/>
  <c r="V44" i="1" s="1"/>
  <c r="FR44" i="1"/>
  <c r="GL44" i="1"/>
  <c r="GO44" i="1"/>
  <c r="GP44" i="1"/>
  <c r="GV44" i="1"/>
  <c r="HC44" i="1" s="1"/>
  <c r="GX44" i="1" s="1"/>
  <c r="I45" i="1"/>
  <c r="D87" i="5" s="1"/>
  <c r="AC45" i="1"/>
  <c r="AE45" i="1"/>
  <c r="F88" i="5" s="1"/>
  <c r="AF45" i="1"/>
  <c r="AG45" i="1"/>
  <c r="CU45" i="1" s="1"/>
  <c r="T45" i="1" s="1"/>
  <c r="AH45" i="1"/>
  <c r="AI45" i="1"/>
  <c r="J88" i="5" s="1"/>
  <c r="AJ45" i="1"/>
  <c r="CX45" i="1" s="1"/>
  <c r="W45" i="1" s="1"/>
  <c r="CQ45" i="1"/>
  <c r="FR45" i="1"/>
  <c r="GL45" i="1"/>
  <c r="GO45" i="1"/>
  <c r="GP45" i="1"/>
  <c r="GV45" i="1"/>
  <c r="HC45" i="1" s="1"/>
  <c r="GX45" i="1" s="1"/>
  <c r="I46" i="1"/>
  <c r="D89" i="5" s="1"/>
  <c r="AC46" i="1"/>
  <c r="AE46" i="1"/>
  <c r="F90" i="5" s="1"/>
  <c r="AF46" i="1"/>
  <c r="E90" i="5" s="1"/>
  <c r="AG46" i="1"/>
  <c r="CU46" i="1" s="1"/>
  <c r="AH46" i="1"/>
  <c r="J89" i="5" s="1"/>
  <c r="AI46" i="1"/>
  <c r="AJ46" i="1"/>
  <c r="CV46" i="1"/>
  <c r="CX46" i="1"/>
  <c r="W46" i="1" s="1"/>
  <c r="FR46" i="1"/>
  <c r="GL46" i="1"/>
  <c r="GO46" i="1"/>
  <c r="GP46" i="1"/>
  <c r="GV46" i="1"/>
  <c r="GX46" i="1"/>
  <c r="HC46" i="1"/>
  <c r="I47" i="1"/>
  <c r="D91" i="5" s="1"/>
  <c r="P47" i="1"/>
  <c r="AC47" i="1"/>
  <c r="AE47" i="1"/>
  <c r="F92" i="5" s="1"/>
  <c r="AF47" i="1"/>
  <c r="AG47" i="1"/>
  <c r="CU47" i="1" s="1"/>
  <c r="T47" i="1" s="1"/>
  <c r="AH47" i="1"/>
  <c r="AI47" i="1"/>
  <c r="J92" i="5" s="1"/>
  <c r="AJ47" i="1"/>
  <c r="CX47" i="1" s="1"/>
  <c r="W47" i="1" s="1"/>
  <c r="CQ47" i="1"/>
  <c r="FR47" i="1"/>
  <c r="GL47" i="1"/>
  <c r="GO47" i="1"/>
  <c r="GP47" i="1"/>
  <c r="GV47" i="1"/>
  <c r="HC47" i="1" s="1"/>
  <c r="C48" i="1"/>
  <c r="D48" i="1"/>
  <c r="I48" i="1"/>
  <c r="U48" i="1"/>
  <c r="AC48" i="1"/>
  <c r="AE48" i="1"/>
  <c r="F94" i="5" s="1"/>
  <c r="AF48" i="1"/>
  <c r="AG48" i="1"/>
  <c r="CU48" i="1" s="1"/>
  <c r="T48" i="1" s="1"/>
  <c r="AH48" i="1"/>
  <c r="J93" i="5" s="1"/>
  <c r="AI48" i="1"/>
  <c r="AJ48" i="1"/>
  <c r="CV48" i="1"/>
  <c r="CX48" i="1"/>
  <c r="W48" i="1" s="1"/>
  <c r="FR48" i="1"/>
  <c r="GL48" i="1"/>
  <c r="GO48" i="1"/>
  <c r="GP48" i="1"/>
  <c r="GV48" i="1"/>
  <c r="GX48" i="1"/>
  <c r="HC48" i="1"/>
  <c r="I49" i="1"/>
  <c r="AC49" i="1"/>
  <c r="AE49" i="1"/>
  <c r="F106" i="5" s="1"/>
  <c r="AF49" i="1"/>
  <c r="AG49" i="1"/>
  <c r="CU49" i="1" s="1"/>
  <c r="AH49" i="1"/>
  <c r="AI49" i="1"/>
  <c r="J106" i="5" s="1"/>
  <c r="AJ49" i="1"/>
  <c r="CX49" i="1" s="1"/>
  <c r="CQ49" i="1"/>
  <c r="FR49" i="1"/>
  <c r="GL49" i="1"/>
  <c r="GO49" i="1"/>
  <c r="GP49" i="1"/>
  <c r="GV49" i="1"/>
  <c r="HC49" i="1" s="1"/>
  <c r="GX49" i="1" s="1"/>
  <c r="I50" i="1"/>
  <c r="D107" i="5" s="1"/>
  <c r="AC50" i="1"/>
  <c r="AE50" i="1"/>
  <c r="F108" i="5" s="1"/>
  <c r="AF50" i="1"/>
  <c r="E108" i="5" s="1"/>
  <c r="AG50" i="1"/>
  <c r="CU50" i="1" s="1"/>
  <c r="T50" i="1" s="1"/>
  <c r="AH50" i="1"/>
  <c r="J107" i="5" s="1"/>
  <c r="AI50" i="1"/>
  <c r="AJ50" i="1"/>
  <c r="CV50" i="1"/>
  <c r="U50" i="1" s="1"/>
  <c r="CX50" i="1"/>
  <c r="W50" i="1" s="1"/>
  <c r="FR50" i="1"/>
  <c r="GL50" i="1"/>
  <c r="GO50" i="1"/>
  <c r="GP50" i="1"/>
  <c r="GV50" i="1"/>
  <c r="HC50" i="1"/>
  <c r="GX50" i="1" s="1"/>
  <c r="I51" i="1"/>
  <c r="D109" i="5" s="1"/>
  <c r="AC51" i="1"/>
  <c r="CQ51" i="1" s="1"/>
  <c r="P51" i="1" s="1"/>
  <c r="U109" i="5" s="1"/>
  <c r="AD51" i="1"/>
  <c r="AE51" i="1"/>
  <c r="F110" i="5" s="1"/>
  <c r="AF51" i="1"/>
  <c r="AG51" i="1"/>
  <c r="AH51" i="1"/>
  <c r="AI51" i="1"/>
  <c r="J110" i="5" s="1"/>
  <c r="AJ51" i="1"/>
  <c r="CX51" i="1" s="1"/>
  <c r="W51" i="1" s="1"/>
  <c r="CS51" i="1"/>
  <c r="CU51" i="1"/>
  <c r="CW51" i="1"/>
  <c r="FR51" i="1"/>
  <c r="GL51" i="1"/>
  <c r="GO51" i="1"/>
  <c r="GP51" i="1"/>
  <c r="GV51" i="1"/>
  <c r="HC51" i="1" s="1"/>
  <c r="GX51" i="1" s="1"/>
  <c r="C52" i="1"/>
  <c r="D52" i="1"/>
  <c r="P52" i="1"/>
  <c r="AC52" i="1"/>
  <c r="AE52" i="1"/>
  <c r="F112" i="5" s="1"/>
  <c r="AF52" i="1"/>
  <c r="AG52" i="1"/>
  <c r="CU52" i="1" s="1"/>
  <c r="T52" i="1" s="1"/>
  <c r="AH52" i="1"/>
  <c r="AI52" i="1"/>
  <c r="J112" i="5" s="1"/>
  <c r="AJ52" i="1"/>
  <c r="CX52" i="1" s="1"/>
  <c r="W52" i="1" s="1"/>
  <c r="CQ52" i="1"/>
  <c r="CS52" i="1"/>
  <c r="R52" i="1" s="1"/>
  <c r="CW52" i="1"/>
  <c r="V52" i="1" s="1"/>
  <c r="FR52" i="1"/>
  <c r="GL52" i="1"/>
  <c r="GO52" i="1"/>
  <c r="GP52" i="1"/>
  <c r="GV52" i="1"/>
  <c r="HC52" i="1" s="1"/>
  <c r="GX52" i="1" s="1"/>
  <c r="C53" i="1"/>
  <c r="D53" i="1"/>
  <c r="T53" i="1"/>
  <c r="AC53" i="1"/>
  <c r="AE53" i="1"/>
  <c r="F123" i="5" s="1"/>
  <c r="AF53" i="1"/>
  <c r="AG53" i="1"/>
  <c r="AH53" i="1"/>
  <c r="AI53" i="1"/>
  <c r="J123" i="5" s="1"/>
  <c r="AJ53" i="1"/>
  <c r="CX53" i="1" s="1"/>
  <c r="W53" i="1" s="1"/>
  <c r="CQ53" i="1"/>
  <c r="P53" i="1" s="1"/>
  <c r="CU53" i="1"/>
  <c r="FR53" i="1"/>
  <c r="GL53" i="1"/>
  <c r="GN53" i="1"/>
  <c r="GP53" i="1"/>
  <c r="GV53" i="1"/>
  <c r="HC53" i="1" s="1"/>
  <c r="GX53" i="1" s="1"/>
  <c r="I54" i="1"/>
  <c r="D127" i="5" s="1"/>
  <c r="AC54" i="1"/>
  <c r="CQ54" i="1" s="1"/>
  <c r="P54" i="1" s="1"/>
  <c r="U127" i="5" s="1"/>
  <c r="AD54" i="1"/>
  <c r="AE54" i="1"/>
  <c r="F128" i="5" s="1"/>
  <c r="AF54" i="1"/>
  <c r="AG54" i="1"/>
  <c r="AH54" i="1"/>
  <c r="AI54" i="1"/>
  <c r="J128" i="5" s="1"/>
  <c r="AJ54" i="1"/>
  <c r="CX54" i="1" s="1"/>
  <c r="W54" i="1" s="1"/>
  <c r="CS54" i="1"/>
  <c r="R54" i="1" s="1"/>
  <c r="CU54" i="1"/>
  <c r="T54" i="1" s="1"/>
  <c r="CW54" i="1"/>
  <c r="V54" i="1" s="1"/>
  <c r="FR54" i="1"/>
  <c r="GL54" i="1"/>
  <c r="GO54" i="1"/>
  <c r="GP54" i="1"/>
  <c r="GV54" i="1"/>
  <c r="HC54" i="1" s="1"/>
  <c r="GX54" i="1" s="1"/>
  <c r="I55" i="1"/>
  <c r="D129" i="5" s="1"/>
  <c r="AC55" i="1"/>
  <c r="AE55" i="1"/>
  <c r="F130" i="5" s="1"/>
  <c r="AF55" i="1"/>
  <c r="E130" i="5" s="1"/>
  <c r="AG55" i="1"/>
  <c r="CU55" i="1" s="1"/>
  <c r="AH55" i="1"/>
  <c r="J129" i="5" s="1"/>
  <c r="AI55" i="1"/>
  <c r="AJ55" i="1"/>
  <c r="CX55" i="1" s="1"/>
  <c r="W55" i="1" s="1"/>
  <c r="CT55" i="1"/>
  <c r="CV55" i="1"/>
  <c r="FR55" i="1"/>
  <c r="GL55" i="1"/>
  <c r="GN55" i="1"/>
  <c r="GP55" i="1"/>
  <c r="GV55" i="1"/>
  <c r="HC55" i="1" s="1"/>
  <c r="GX55" i="1" s="1"/>
  <c r="C56" i="1"/>
  <c r="D56" i="1"/>
  <c r="AC56" i="1"/>
  <c r="AE56" i="1"/>
  <c r="F132" i="5" s="1"/>
  <c r="AF56" i="1"/>
  <c r="AG56" i="1"/>
  <c r="CU56" i="1" s="1"/>
  <c r="T56" i="1" s="1"/>
  <c r="AH56" i="1"/>
  <c r="J131" i="5" s="1"/>
  <c r="AI56" i="1"/>
  <c r="AJ56" i="1"/>
  <c r="CV56" i="1"/>
  <c r="U56" i="1" s="1"/>
  <c r="CX56" i="1"/>
  <c r="W56" i="1" s="1"/>
  <c r="FR56" i="1"/>
  <c r="GL56" i="1"/>
  <c r="GN56" i="1"/>
  <c r="GP56" i="1"/>
  <c r="GV56" i="1"/>
  <c r="HC56" i="1"/>
  <c r="GX56" i="1" s="1"/>
  <c r="I57" i="1"/>
  <c r="D136" i="5" s="1"/>
  <c r="T57" i="1"/>
  <c r="AC57" i="1"/>
  <c r="AE57" i="1"/>
  <c r="F137" i="5" s="1"/>
  <c r="AF57" i="1"/>
  <c r="AG57" i="1"/>
  <c r="AH57" i="1"/>
  <c r="AI57" i="1"/>
  <c r="J137" i="5" s="1"/>
  <c r="AJ57" i="1"/>
  <c r="CX57" i="1" s="1"/>
  <c r="W57" i="1" s="1"/>
  <c r="CQ57" i="1"/>
  <c r="CU57" i="1"/>
  <c r="FR57" i="1"/>
  <c r="GL57" i="1"/>
  <c r="GO57" i="1"/>
  <c r="GP57" i="1"/>
  <c r="GV57" i="1"/>
  <c r="HC57" i="1" s="1"/>
  <c r="I58" i="1"/>
  <c r="D138" i="5" s="1"/>
  <c r="AC58" i="1"/>
  <c r="AE58" i="1"/>
  <c r="F139" i="5" s="1"/>
  <c r="AF58" i="1"/>
  <c r="E139" i="5" s="1"/>
  <c r="AG58" i="1"/>
  <c r="CU58" i="1" s="1"/>
  <c r="T58" i="1" s="1"/>
  <c r="AH58" i="1"/>
  <c r="J138" i="5" s="1"/>
  <c r="AI58" i="1"/>
  <c r="AJ58" i="1"/>
  <c r="CT58" i="1"/>
  <c r="S58" i="1" s="1"/>
  <c r="CX58" i="1"/>
  <c r="W58" i="1" s="1"/>
  <c r="FR58" i="1"/>
  <c r="GL58" i="1"/>
  <c r="GN58" i="1"/>
  <c r="GP58" i="1"/>
  <c r="GV58" i="1"/>
  <c r="HC58" i="1" s="1"/>
  <c r="GX58" i="1" s="1"/>
  <c r="C59" i="1"/>
  <c r="D59" i="1"/>
  <c r="AC59" i="1"/>
  <c r="AE59" i="1"/>
  <c r="F141" i="5" s="1"/>
  <c r="AF59" i="1"/>
  <c r="AG59" i="1"/>
  <c r="CU59" i="1" s="1"/>
  <c r="T59" i="1" s="1"/>
  <c r="AH59" i="1"/>
  <c r="J140" i="5" s="1"/>
  <c r="AI59" i="1"/>
  <c r="AJ59" i="1"/>
  <c r="CT59" i="1"/>
  <c r="S59" i="1" s="1"/>
  <c r="CV59" i="1"/>
  <c r="U59" i="1" s="1"/>
  <c r="CX59" i="1"/>
  <c r="W59" i="1" s="1"/>
  <c r="FR59" i="1"/>
  <c r="GL59" i="1"/>
  <c r="GO59" i="1"/>
  <c r="GP59" i="1"/>
  <c r="GV59" i="1"/>
  <c r="HC59" i="1"/>
  <c r="GX59" i="1" s="1"/>
  <c r="I60" i="1"/>
  <c r="AC60" i="1"/>
  <c r="AE60" i="1"/>
  <c r="F152" i="5" s="1"/>
  <c r="AF60" i="1"/>
  <c r="AG60" i="1"/>
  <c r="CU60" i="1" s="1"/>
  <c r="AH60" i="1"/>
  <c r="AI60" i="1"/>
  <c r="J152" i="5" s="1"/>
  <c r="AJ60" i="1"/>
  <c r="CQ60" i="1"/>
  <c r="P60" i="1" s="1"/>
  <c r="U151" i="5" s="1"/>
  <c r="CX60" i="1"/>
  <c r="W60" i="1" s="1"/>
  <c r="FR60" i="1"/>
  <c r="GL60" i="1"/>
  <c r="GN60" i="1"/>
  <c r="GP60" i="1"/>
  <c r="GV60" i="1"/>
  <c r="HC60" i="1"/>
  <c r="B62" i="1"/>
  <c r="B30" i="1" s="1"/>
  <c r="C62" i="1"/>
  <c r="C30" i="1" s="1"/>
  <c r="D62" i="1"/>
  <c r="D30" i="1" s="1"/>
  <c r="F62" i="1"/>
  <c r="F30" i="1" s="1"/>
  <c r="G62" i="1"/>
  <c r="G30" i="1" s="1"/>
  <c r="BX62" i="1"/>
  <c r="BX30" i="1" s="1"/>
  <c r="CK62" i="1"/>
  <c r="CK30" i="1" s="1"/>
  <c r="CL62" i="1"/>
  <c r="CL30" i="1" s="1"/>
  <c r="CM62" i="1"/>
  <c r="CM30" i="1" s="1"/>
  <c r="B92" i="1"/>
  <c r="B26" i="1" s="1"/>
  <c r="C92" i="1"/>
  <c r="C26" i="1" s="1"/>
  <c r="D92" i="1"/>
  <c r="D26" i="1" s="1"/>
  <c r="F92" i="1"/>
  <c r="F26" i="1" s="1"/>
  <c r="G92" i="1"/>
  <c r="G26" i="1" s="1"/>
  <c r="B125" i="1"/>
  <c r="B22" i="1" s="1"/>
  <c r="C125" i="1"/>
  <c r="C22" i="1" s="1"/>
  <c r="D125" i="1"/>
  <c r="D22" i="1" s="1"/>
  <c r="F125" i="1"/>
  <c r="F22" i="1" s="1"/>
  <c r="G125" i="1"/>
  <c r="B158" i="1"/>
  <c r="B18" i="1" s="1"/>
  <c r="C158" i="1"/>
  <c r="C18" i="1" s="1"/>
  <c r="D158" i="1"/>
  <c r="D18" i="1" s="1"/>
  <c r="F158" i="1"/>
  <c r="F18" i="1" s="1"/>
  <c r="G158" i="1"/>
  <c r="G18" i="1" s="1"/>
  <c r="BZ30" i="1" l="1"/>
  <c r="CG62" i="1"/>
  <c r="CG30" i="1" s="1"/>
  <c r="Y140" i="5"/>
  <c r="K140" i="5"/>
  <c r="K131" i="5"/>
  <c r="Y131" i="5"/>
  <c r="E134" i="5"/>
  <c r="E132" i="5"/>
  <c r="E133" i="5"/>
  <c r="E102" i="5"/>
  <c r="E103" i="5"/>
  <c r="E94" i="5"/>
  <c r="E55" i="5"/>
  <c r="E54" i="5"/>
  <c r="E47" i="5"/>
  <c r="CW60" i="1"/>
  <c r="V60" i="1" s="1"/>
  <c r="CT60" i="1"/>
  <c r="E152" i="5"/>
  <c r="CV57" i="1"/>
  <c r="U57" i="1" s="1"/>
  <c r="J136" i="5"/>
  <c r="CV53" i="1"/>
  <c r="U53" i="1" s="1"/>
  <c r="J122" i="5"/>
  <c r="K107" i="5"/>
  <c r="Y107" i="5"/>
  <c r="CV49" i="1"/>
  <c r="U49" i="1" s="1"/>
  <c r="J105" i="5"/>
  <c r="CV47" i="1"/>
  <c r="U47" i="1" s="1"/>
  <c r="J91" i="5"/>
  <c r="U46" i="1"/>
  <c r="CV45" i="1"/>
  <c r="U45" i="1" s="1"/>
  <c r="J87" i="5"/>
  <c r="CS44" i="1"/>
  <c r="R44" i="1" s="1"/>
  <c r="AD44" i="1"/>
  <c r="T43" i="1"/>
  <c r="CV39" i="1"/>
  <c r="U39" i="1" s="1"/>
  <c r="W36" i="1"/>
  <c r="K46" i="5"/>
  <c r="Y46" i="5"/>
  <c r="CV32" i="1"/>
  <c r="U32" i="1" s="1"/>
  <c r="J24" i="5"/>
  <c r="I128" i="5"/>
  <c r="X127" i="5"/>
  <c r="CW43" i="1"/>
  <c r="V43" i="1" s="1"/>
  <c r="J84" i="5"/>
  <c r="X59" i="5"/>
  <c r="I60" i="5"/>
  <c r="H140" i="5"/>
  <c r="V140" i="5"/>
  <c r="CW55" i="1"/>
  <c r="V55" i="1" s="1"/>
  <c r="J130" i="5"/>
  <c r="CW59" i="1"/>
  <c r="V59" i="1" s="1"/>
  <c r="J141" i="5"/>
  <c r="CT56" i="1"/>
  <c r="S56" i="1" s="1"/>
  <c r="T55" i="1"/>
  <c r="I112" i="5"/>
  <c r="X111" i="5"/>
  <c r="AD52" i="1"/>
  <c r="CV51" i="1"/>
  <c r="U51" i="1" s="1"/>
  <c r="J109" i="5"/>
  <c r="CT50" i="1"/>
  <c r="S50" i="1" s="1"/>
  <c r="CT48" i="1"/>
  <c r="S48" i="1" s="1"/>
  <c r="K93" i="5"/>
  <c r="Y93" i="5"/>
  <c r="CT46" i="1"/>
  <c r="S46" i="1" s="1"/>
  <c r="P42" i="1"/>
  <c r="U81" i="5" s="1"/>
  <c r="D81" i="5"/>
  <c r="CV40" i="1"/>
  <c r="U40" i="1" s="1"/>
  <c r="J77" i="5"/>
  <c r="CT39" i="1"/>
  <c r="S39" i="1" s="1"/>
  <c r="CW38" i="1"/>
  <c r="V38" i="1" s="1"/>
  <c r="CT38" i="1"/>
  <c r="E74" i="5"/>
  <c r="CW37" i="1"/>
  <c r="J72" i="5"/>
  <c r="CX30" i="3"/>
  <c r="C61" i="5"/>
  <c r="D59" i="5"/>
  <c r="CV35" i="1"/>
  <c r="J57" i="5"/>
  <c r="CT34" i="1"/>
  <c r="S34" i="1" s="1"/>
  <c r="CV33" i="1"/>
  <c r="U33" i="1" s="1"/>
  <c r="E44" i="5"/>
  <c r="E36" i="5"/>
  <c r="E43" i="5"/>
  <c r="CW33" i="1"/>
  <c r="V33" i="1" s="1"/>
  <c r="J36" i="5"/>
  <c r="CV38" i="1"/>
  <c r="J73" i="5"/>
  <c r="G22" i="1"/>
  <c r="C155" i="5"/>
  <c r="CS60" i="1"/>
  <c r="R60" i="1" s="1"/>
  <c r="AD60" i="1"/>
  <c r="CV58" i="1"/>
  <c r="U58" i="1" s="1"/>
  <c r="CW57" i="1"/>
  <c r="V57" i="1" s="1"/>
  <c r="CT57" i="1"/>
  <c r="S57" i="1" s="1"/>
  <c r="E137" i="5"/>
  <c r="CV54" i="1"/>
  <c r="U54" i="1" s="1"/>
  <c r="J127" i="5"/>
  <c r="CW53" i="1"/>
  <c r="V53" i="1" s="1"/>
  <c r="CT53" i="1"/>
  <c r="S53" i="1" s="1"/>
  <c r="E125" i="5"/>
  <c r="E123" i="5"/>
  <c r="E124" i="5"/>
  <c r="CW49" i="1"/>
  <c r="V49" i="1" s="1"/>
  <c r="CT49" i="1"/>
  <c r="S49" i="1" s="1"/>
  <c r="E106" i="5"/>
  <c r="D93" i="5"/>
  <c r="C95" i="5"/>
  <c r="CW47" i="1"/>
  <c r="V47" i="1" s="1"/>
  <c r="CT47" i="1"/>
  <c r="S47" i="1" s="1"/>
  <c r="CZ47" i="1" s="1"/>
  <c r="Y47" i="1" s="1"/>
  <c r="E92" i="5"/>
  <c r="CW45" i="1"/>
  <c r="V45" i="1" s="1"/>
  <c r="CT45" i="1"/>
  <c r="S45" i="1" s="1"/>
  <c r="E88" i="5"/>
  <c r="T44" i="1"/>
  <c r="D85" i="5"/>
  <c r="CV41" i="1"/>
  <c r="U41" i="1" s="1"/>
  <c r="T38" i="1"/>
  <c r="CV36" i="1"/>
  <c r="U36" i="1" s="1"/>
  <c r="J59" i="5"/>
  <c r="V35" i="1"/>
  <c r="E34" i="5"/>
  <c r="E32" i="5"/>
  <c r="E33" i="5"/>
  <c r="E25" i="5"/>
  <c r="CV60" i="1"/>
  <c r="U60" i="1" s="1"/>
  <c r="J151" i="5"/>
  <c r="AD42" i="1"/>
  <c r="V138" i="5"/>
  <c r="H138" i="5"/>
  <c r="CW56" i="1"/>
  <c r="V56" i="1" s="1"/>
  <c r="J132" i="5"/>
  <c r="U111" i="5"/>
  <c r="V51" i="1"/>
  <c r="CT51" i="1"/>
  <c r="S51" i="1" s="1"/>
  <c r="E110" i="5"/>
  <c r="CW50" i="1"/>
  <c r="V50" i="1" s="1"/>
  <c r="J108" i="5"/>
  <c r="CW48" i="1"/>
  <c r="V48" i="1" s="1"/>
  <c r="J94" i="5"/>
  <c r="CW46" i="1"/>
  <c r="V46" i="1" s="1"/>
  <c r="J90" i="5"/>
  <c r="CV43" i="1"/>
  <c r="U43" i="1" s="1"/>
  <c r="CV42" i="1"/>
  <c r="U42" i="1" s="1"/>
  <c r="J81" i="5"/>
  <c r="V79" i="5"/>
  <c r="H79" i="5"/>
  <c r="V40" i="1"/>
  <c r="CT40" i="1"/>
  <c r="S40" i="1" s="1"/>
  <c r="E78" i="5"/>
  <c r="CW39" i="1"/>
  <c r="V39" i="1" s="1"/>
  <c r="J76" i="5"/>
  <c r="R38" i="1"/>
  <c r="CR38" i="1"/>
  <c r="F73" i="5"/>
  <c r="CT35" i="1"/>
  <c r="E58" i="5"/>
  <c r="CW34" i="1"/>
  <c r="V34" i="1" s="1"/>
  <c r="J47" i="5"/>
  <c r="H35" i="5"/>
  <c r="V35" i="5"/>
  <c r="CS32" i="1"/>
  <c r="R32" i="1" s="1"/>
  <c r="F25" i="5"/>
  <c r="K86" i="5"/>
  <c r="Z85" i="5"/>
  <c r="Z111" i="5"/>
  <c r="K112" i="5"/>
  <c r="CS42" i="1"/>
  <c r="R42" i="1" s="1"/>
  <c r="CY42" i="1" s="1"/>
  <c r="X42" i="1" s="1"/>
  <c r="AA81" i="5" s="1"/>
  <c r="E141" i="5"/>
  <c r="E148" i="5"/>
  <c r="E149" i="5"/>
  <c r="CS57" i="1"/>
  <c r="R57" i="1" s="1"/>
  <c r="AD57" i="1"/>
  <c r="K128" i="5"/>
  <c r="Z127" i="5"/>
  <c r="CT54" i="1"/>
  <c r="S54" i="1" s="1"/>
  <c r="E128" i="5"/>
  <c r="CS53" i="1"/>
  <c r="R53" i="1" s="1"/>
  <c r="AD53" i="1"/>
  <c r="T51" i="1"/>
  <c r="CS49" i="1"/>
  <c r="R49" i="1" s="1"/>
  <c r="AD49" i="1"/>
  <c r="CS47" i="1"/>
  <c r="R47" i="1" s="1"/>
  <c r="AD47" i="1"/>
  <c r="CS45" i="1"/>
  <c r="R45" i="1" s="1"/>
  <c r="AD45" i="1"/>
  <c r="CV44" i="1"/>
  <c r="U44" i="1" s="1"/>
  <c r="J85" i="5"/>
  <c r="CT43" i="1"/>
  <c r="S43" i="1" s="1"/>
  <c r="P38" i="1"/>
  <c r="U73" i="5" s="1"/>
  <c r="CW36" i="1"/>
  <c r="V36" i="1" s="1"/>
  <c r="CT36" i="1"/>
  <c r="S36" i="1" s="1"/>
  <c r="E69" i="5"/>
  <c r="E60" i="5"/>
  <c r="E68" i="5"/>
  <c r="AD32" i="1"/>
  <c r="CR54" i="1"/>
  <c r="Q54" i="1" s="1"/>
  <c r="F127" i="5"/>
  <c r="U91" i="5"/>
  <c r="CT44" i="1"/>
  <c r="S44" i="1" s="1"/>
  <c r="E86" i="5"/>
  <c r="CT52" i="1"/>
  <c r="S52" i="1" s="1"/>
  <c r="E120" i="5"/>
  <c r="E121" i="5"/>
  <c r="E112" i="5"/>
  <c r="E119" i="5"/>
  <c r="T49" i="1"/>
  <c r="D105" i="5"/>
  <c r="CW32" i="1"/>
  <c r="V32" i="1" s="1"/>
  <c r="J25" i="5"/>
  <c r="GX60" i="1"/>
  <c r="D151" i="5"/>
  <c r="CW58" i="1"/>
  <c r="V58" i="1" s="1"/>
  <c r="J139" i="5"/>
  <c r="GX57" i="1"/>
  <c r="P57" i="1"/>
  <c r="S55" i="1"/>
  <c r="U55" i="1"/>
  <c r="U122" i="5"/>
  <c r="CV52" i="1"/>
  <c r="U52" i="1" s="1"/>
  <c r="J111" i="5"/>
  <c r="R51" i="1"/>
  <c r="CR51" i="1"/>
  <c r="Q51" i="1" s="1"/>
  <c r="F109" i="5"/>
  <c r="P49" i="1"/>
  <c r="U105" i="5" s="1"/>
  <c r="GX47" i="1"/>
  <c r="T46" i="1"/>
  <c r="P45" i="1"/>
  <c r="U87" i="5" s="1"/>
  <c r="Z81" i="5"/>
  <c r="K82" i="5"/>
  <c r="CT42" i="1"/>
  <c r="S42" i="1" s="1"/>
  <c r="CZ42" i="1" s="1"/>
  <c r="Y42" i="1" s="1"/>
  <c r="AB81" i="5" s="1"/>
  <c r="E82" i="5"/>
  <c r="CW41" i="1"/>
  <c r="V41" i="1" s="1"/>
  <c r="J80" i="5"/>
  <c r="GX40" i="1"/>
  <c r="R40" i="1"/>
  <c r="T39" i="1"/>
  <c r="AD37" i="1"/>
  <c r="F72" i="5"/>
  <c r="AB35" i="1"/>
  <c r="E57" i="5" s="1"/>
  <c r="F57" i="5"/>
  <c r="CT32" i="1"/>
  <c r="S32" i="1" s="1"/>
  <c r="BC62" i="1"/>
  <c r="AU62" i="1"/>
  <c r="AQ62" i="1"/>
  <c r="CQ56" i="1"/>
  <c r="P56" i="1" s="1"/>
  <c r="U131" i="5" s="1"/>
  <c r="CQ55" i="1"/>
  <c r="P55" i="1" s="1"/>
  <c r="U129" i="5" s="1"/>
  <c r="AB54" i="1"/>
  <c r="E127" i="5" s="1"/>
  <c r="CQ50" i="1"/>
  <c r="P50" i="1" s="1"/>
  <c r="U107" i="5" s="1"/>
  <c r="W49" i="1"/>
  <c r="BB62" i="1"/>
  <c r="AX62" i="1"/>
  <c r="AP62" i="1"/>
  <c r="CS59" i="1"/>
  <c r="R59" i="1" s="1"/>
  <c r="AD59" i="1"/>
  <c r="AB59" i="1" s="1"/>
  <c r="AD58" i="1"/>
  <c r="CS58" i="1"/>
  <c r="R58" i="1" s="1"/>
  <c r="CS48" i="1"/>
  <c r="R48" i="1" s="1"/>
  <c r="AD48" i="1"/>
  <c r="CQ46" i="1"/>
  <c r="P46" i="1" s="1"/>
  <c r="U89" i="5" s="1"/>
  <c r="CY45" i="1"/>
  <c r="X45" i="1" s="1"/>
  <c r="AA87" i="5" s="1"/>
  <c r="AB45" i="1"/>
  <c r="E87" i="5" s="1"/>
  <c r="AO62" i="1"/>
  <c r="T60" i="1"/>
  <c r="CQ59" i="1"/>
  <c r="P59" i="1" s="1"/>
  <c r="CQ58" i="1"/>
  <c r="P58" i="1" s="1"/>
  <c r="CZ57" i="1"/>
  <c r="Y57" i="1" s="1"/>
  <c r="AB57" i="1"/>
  <c r="E136" i="5" s="1"/>
  <c r="CY48" i="1"/>
  <c r="X48" i="1" s="1"/>
  <c r="CZ48" i="1"/>
  <c r="Y48" i="1" s="1"/>
  <c r="CI62" i="1"/>
  <c r="BD62" i="1"/>
  <c r="S60" i="1"/>
  <c r="AB60" i="1"/>
  <c r="E151" i="5" s="1"/>
  <c r="CS56" i="1"/>
  <c r="R56" i="1" s="1"/>
  <c r="AD56" i="1"/>
  <c r="AD55" i="1"/>
  <c r="CS55" i="1"/>
  <c r="R55" i="1" s="1"/>
  <c r="AD50" i="1"/>
  <c r="CS50" i="1"/>
  <c r="R50" i="1" s="1"/>
  <c r="AB48" i="1"/>
  <c r="E93" i="5" s="1"/>
  <c r="CQ48" i="1"/>
  <c r="P48" i="1" s="1"/>
  <c r="CS46" i="1"/>
  <c r="R46" i="1" s="1"/>
  <c r="AD46" i="1"/>
  <c r="CQ43" i="1"/>
  <c r="P43" i="1" s="1"/>
  <c r="U83" i="5" s="1"/>
  <c r="AB53" i="1"/>
  <c r="E122" i="5" s="1"/>
  <c r="AB52" i="1"/>
  <c r="E111" i="5" s="1"/>
  <c r="AB51" i="1"/>
  <c r="E109" i="5" s="1"/>
  <c r="CZ44" i="1"/>
  <c r="Y44" i="1" s="1"/>
  <c r="AB85" i="5" s="1"/>
  <c r="CS43" i="1"/>
  <c r="R43" i="1" s="1"/>
  <c r="AD43" i="1"/>
  <c r="CQ41" i="1"/>
  <c r="P41" i="1" s="1"/>
  <c r="U79" i="5" s="1"/>
  <c r="GX38" i="1"/>
  <c r="U38" i="1"/>
  <c r="Q38" i="1"/>
  <c r="Q35" i="1"/>
  <c r="U35" i="1"/>
  <c r="P35" i="1"/>
  <c r="U57" i="5" s="1"/>
  <c r="CX41" i="3"/>
  <c r="CX45" i="3"/>
  <c r="CX44" i="3"/>
  <c r="CX43" i="3"/>
  <c r="CX47" i="3"/>
  <c r="CX46" i="3"/>
  <c r="CX42" i="3"/>
  <c r="CR40" i="1"/>
  <c r="Q40" i="1" s="1"/>
  <c r="AB40" i="1"/>
  <c r="E77" i="5" s="1"/>
  <c r="CS39" i="1"/>
  <c r="R39" i="1" s="1"/>
  <c r="AD39" i="1"/>
  <c r="W38" i="1"/>
  <c r="S38" i="1"/>
  <c r="AB38" i="1"/>
  <c r="E73" i="5" s="1"/>
  <c r="CQ37" i="1"/>
  <c r="AB37" i="1"/>
  <c r="E71" i="5" s="1"/>
  <c r="T35" i="1"/>
  <c r="AD41" i="1"/>
  <c r="CS41" i="1"/>
  <c r="R41" i="1" s="1"/>
  <c r="AB39" i="1"/>
  <c r="E75" i="5" s="1"/>
  <c r="CR36" i="1"/>
  <c r="Q36" i="1" s="1"/>
  <c r="AB36" i="1"/>
  <c r="E59" i="5" s="1"/>
  <c r="R35" i="1"/>
  <c r="GX35" i="1"/>
  <c r="AD34" i="1"/>
  <c r="CS34" i="1"/>
  <c r="R34" i="1" s="1"/>
  <c r="CY32" i="1"/>
  <c r="X32" i="1" s="1"/>
  <c r="CZ32" i="1"/>
  <c r="Y32" i="1" s="1"/>
  <c r="CX26" i="3"/>
  <c r="CQ39" i="1"/>
  <c r="P39" i="1" s="1"/>
  <c r="CS37" i="1"/>
  <c r="I37" i="1"/>
  <c r="D71" i="5" s="1"/>
  <c r="CQ34" i="1"/>
  <c r="P34" i="1" s="1"/>
  <c r="CQ32" i="1"/>
  <c r="P32" i="1" s="1"/>
  <c r="U24" i="5" s="1"/>
  <c r="AB32" i="1"/>
  <c r="E24" i="5" s="1"/>
  <c r="CX21" i="3"/>
  <c r="CX25" i="3"/>
  <c r="CX29" i="3"/>
  <c r="CX33" i="3"/>
  <c r="CX37" i="3"/>
  <c r="CX24" i="3"/>
  <c r="CX28" i="3"/>
  <c r="CX32" i="3"/>
  <c r="CX36" i="3"/>
  <c r="CX40" i="3"/>
  <c r="CX23" i="3"/>
  <c r="CX27" i="3"/>
  <c r="CX31" i="3"/>
  <c r="CX35" i="3"/>
  <c r="CX39" i="3"/>
  <c r="W35" i="1"/>
  <c r="S35" i="1"/>
  <c r="CS33" i="1"/>
  <c r="R33" i="1" s="1"/>
  <c r="AD33" i="1"/>
  <c r="CX34" i="3"/>
  <c r="AB33" i="1"/>
  <c r="E35" i="5" s="1"/>
  <c r="CX38" i="3"/>
  <c r="CX22" i="3"/>
  <c r="AB91" i="5" l="1"/>
  <c r="E140" i="5"/>
  <c r="E150" i="5"/>
  <c r="CP54" i="1"/>
  <c r="O54" i="1" s="1"/>
  <c r="V127" i="5"/>
  <c r="H127" i="5"/>
  <c r="CP51" i="1"/>
  <c r="O51" i="1" s="1"/>
  <c r="V109" i="5"/>
  <c r="H109" i="5"/>
  <c r="V105" i="5"/>
  <c r="H105" i="5"/>
  <c r="Y105" i="5"/>
  <c r="K105" i="5"/>
  <c r="CP34" i="1"/>
  <c r="O34" i="1" s="1"/>
  <c r="U46" i="5"/>
  <c r="CZ39" i="1"/>
  <c r="Y39" i="1" s="1"/>
  <c r="AB75" i="5" s="1"/>
  <c r="X75" i="5"/>
  <c r="I76" i="5"/>
  <c r="CR58" i="1"/>
  <c r="Q58" i="1" s="1"/>
  <c r="F138" i="5"/>
  <c r="CY36" i="1"/>
  <c r="X36" i="1" s="1"/>
  <c r="H59" i="5"/>
  <c r="V59" i="5"/>
  <c r="Z107" i="5"/>
  <c r="K108" i="5"/>
  <c r="K77" i="5"/>
  <c r="Y77" i="5"/>
  <c r="R37" i="1"/>
  <c r="CR49" i="1"/>
  <c r="Q49" i="1" s="1"/>
  <c r="F105" i="5"/>
  <c r="K83" i="5"/>
  <c r="Y83" i="5"/>
  <c r="CR42" i="1"/>
  <c r="Q42" i="1" s="1"/>
  <c r="F81" i="5"/>
  <c r="K88" i="5"/>
  <c r="Z87" i="5"/>
  <c r="K106" i="5"/>
  <c r="Z105" i="5"/>
  <c r="Y127" i="5"/>
  <c r="K127" i="5"/>
  <c r="Y109" i="5"/>
  <c r="K109" i="5"/>
  <c r="Z140" i="5"/>
  <c r="K141" i="5"/>
  <c r="Z83" i="5"/>
  <c r="K84" i="5"/>
  <c r="Y75" i="5"/>
  <c r="K75" i="5"/>
  <c r="Y91" i="5"/>
  <c r="K91" i="5"/>
  <c r="K136" i="5"/>
  <c r="Y136" i="5"/>
  <c r="CY33" i="1"/>
  <c r="X33" i="1" s="1"/>
  <c r="X35" i="5"/>
  <c r="I36" i="5"/>
  <c r="U75" i="5"/>
  <c r="CP36" i="1"/>
  <c r="O36" i="1" s="1"/>
  <c r="CZ36" i="1"/>
  <c r="Y36" i="1" s="1"/>
  <c r="CR50" i="1"/>
  <c r="Q50" i="1" s="1"/>
  <c r="F107" i="5"/>
  <c r="CP58" i="1"/>
  <c r="O58" i="1" s="1"/>
  <c r="U138" i="5"/>
  <c r="V24" i="5"/>
  <c r="H24" i="5"/>
  <c r="CR32" i="1"/>
  <c r="Q32" i="1" s="1"/>
  <c r="F24" i="5"/>
  <c r="H83" i="5"/>
  <c r="V83" i="5"/>
  <c r="I106" i="5"/>
  <c r="X105" i="5"/>
  <c r="CR57" i="1"/>
  <c r="Q57" i="1" s="1"/>
  <c r="F136" i="5"/>
  <c r="Z46" i="5"/>
  <c r="K47" i="5"/>
  <c r="Z109" i="5"/>
  <c r="K110" i="5"/>
  <c r="K59" i="5"/>
  <c r="Y59" i="5"/>
  <c r="K35" i="5"/>
  <c r="Y35" i="5"/>
  <c r="CR52" i="1"/>
  <c r="Q52" i="1" s="1"/>
  <c r="F111" i="5"/>
  <c r="U93" i="5"/>
  <c r="K89" i="5"/>
  <c r="Y89" i="5"/>
  <c r="CR34" i="1"/>
  <c r="Q34" i="1" s="1"/>
  <c r="F46" i="5"/>
  <c r="I74" i="5"/>
  <c r="X73" i="5"/>
  <c r="Z122" i="5"/>
  <c r="K123" i="5"/>
  <c r="X151" i="5"/>
  <c r="I152" i="5"/>
  <c r="H131" i="5"/>
  <c r="V131" i="5"/>
  <c r="AB136" i="5"/>
  <c r="X77" i="5"/>
  <c r="I78" i="5"/>
  <c r="K111" i="5"/>
  <c r="Y111" i="5"/>
  <c r="K60" i="5"/>
  <c r="Z59" i="5"/>
  <c r="V87" i="5"/>
  <c r="H87" i="5"/>
  <c r="CP40" i="1"/>
  <c r="O40" i="1" s="1"/>
  <c r="W77" i="5"/>
  <c r="I77" i="5"/>
  <c r="K76" i="5"/>
  <c r="Z75" i="5"/>
  <c r="AB42" i="1"/>
  <c r="E81" i="5" s="1"/>
  <c r="CR43" i="1"/>
  <c r="Q43" i="1" s="1"/>
  <c r="F83" i="5"/>
  <c r="CZ55" i="1"/>
  <c r="Y55" i="1" s="1"/>
  <c r="AB129" i="5" s="1"/>
  <c r="I130" i="5"/>
  <c r="X129" i="5"/>
  <c r="H111" i="5"/>
  <c r="V111" i="5"/>
  <c r="CY57" i="1"/>
  <c r="X57" i="1" s="1"/>
  <c r="AA136" i="5" s="1"/>
  <c r="I137" i="5"/>
  <c r="X136" i="5"/>
  <c r="K151" i="5"/>
  <c r="Y151" i="5"/>
  <c r="V136" i="5"/>
  <c r="H136" i="5"/>
  <c r="H89" i="5"/>
  <c r="V89" i="5"/>
  <c r="K130" i="5"/>
  <c r="Z129" i="5"/>
  <c r="CR44" i="1"/>
  <c r="Q44" i="1" s="1"/>
  <c r="F85" i="5"/>
  <c r="G33" i="5"/>
  <c r="AB24" i="5"/>
  <c r="W59" i="5"/>
  <c r="I59" i="5"/>
  <c r="CP38" i="1"/>
  <c r="O38" i="1" s="1"/>
  <c r="H73" i="5"/>
  <c r="V73" i="5"/>
  <c r="K57" i="5"/>
  <c r="Y57" i="5"/>
  <c r="CZ43" i="1"/>
  <c r="Y43" i="1" s="1"/>
  <c r="AB83" i="5" s="1"/>
  <c r="I84" i="5"/>
  <c r="X83" i="5"/>
  <c r="CR55" i="1"/>
  <c r="Q55" i="1" s="1"/>
  <c r="F129" i="5"/>
  <c r="G102" i="5"/>
  <c r="AA93" i="5"/>
  <c r="I94" i="5"/>
  <c r="X93" i="5"/>
  <c r="H129" i="5"/>
  <c r="V129" i="5"/>
  <c r="Z24" i="5"/>
  <c r="K25" i="5"/>
  <c r="E70" i="5"/>
  <c r="K85" i="5"/>
  <c r="Y85" i="5"/>
  <c r="CR53" i="1"/>
  <c r="Q53" i="1" s="1"/>
  <c r="F122" i="5"/>
  <c r="K78" i="5"/>
  <c r="Z77" i="5"/>
  <c r="Y79" i="5"/>
  <c r="K79" i="5"/>
  <c r="Z91" i="5"/>
  <c r="K92" i="5"/>
  <c r="E126" i="5"/>
  <c r="Z136" i="5"/>
  <c r="K137" i="5"/>
  <c r="X85" i="5"/>
  <c r="I86" i="5"/>
  <c r="Z151" i="5"/>
  <c r="K152" i="5"/>
  <c r="E104" i="5"/>
  <c r="CR41" i="1"/>
  <c r="Q41" i="1" s="1"/>
  <c r="F79" i="5"/>
  <c r="K73" i="5"/>
  <c r="Y73" i="5"/>
  <c r="CR47" i="1"/>
  <c r="Q47" i="1" s="1"/>
  <c r="F91" i="5"/>
  <c r="E45" i="5"/>
  <c r="K122" i="5"/>
  <c r="Y122" i="5"/>
  <c r="K139" i="5"/>
  <c r="Z138" i="5"/>
  <c r="I82" i="5"/>
  <c r="X81" i="5"/>
  <c r="CR33" i="1"/>
  <c r="Q33" i="1" s="1"/>
  <c r="F35" i="5"/>
  <c r="I58" i="5"/>
  <c r="X57" i="5"/>
  <c r="CZ50" i="1"/>
  <c r="Y50" i="1" s="1"/>
  <c r="AB107" i="5" s="1"/>
  <c r="I108" i="5"/>
  <c r="X107" i="5"/>
  <c r="CZ59" i="1"/>
  <c r="Y59" i="1" s="1"/>
  <c r="I141" i="5"/>
  <c r="X140" i="5"/>
  <c r="CR48" i="1"/>
  <c r="Q48" i="1" s="1"/>
  <c r="F93" i="5"/>
  <c r="H77" i="5"/>
  <c r="V77" i="5"/>
  <c r="CY40" i="1"/>
  <c r="X40" i="1" s="1"/>
  <c r="AA77" i="5" s="1"/>
  <c r="H91" i="5"/>
  <c r="V91" i="5"/>
  <c r="V46" i="5"/>
  <c r="H46" i="5"/>
  <c r="W57" i="5"/>
  <c r="I57" i="5"/>
  <c r="AB44" i="1"/>
  <c r="E85" i="5" s="1"/>
  <c r="CR46" i="1"/>
  <c r="Q46" i="1" s="1"/>
  <c r="F89" i="5"/>
  <c r="H81" i="5"/>
  <c r="V81" i="5"/>
  <c r="I109" i="5"/>
  <c r="W109" i="5"/>
  <c r="CP57" i="1"/>
  <c r="O57" i="1" s="1"/>
  <c r="GM57" i="1" s="1"/>
  <c r="U136" i="5"/>
  <c r="H85" i="5"/>
  <c r="V85" i="5"/>
  <c r="CY53" i="1"/>
  <c r="X53" i="1" s="1"/>
  <c r="I123" i="5"/>
  <c r="X122" i="5"/>
  <c r="Z93" i="5"/>
  <c r="K94" i="5"/>
  <c r="Y138" i="5"/>
  <c r="K138" i="5"/>
  <c r="Z35" i="5"/>
  <c r="K36" i="5"/>
  <c r="Z73" i="5"/>
  <c r="K74" i="5"/>
  <c r="CY52" i="1"/>
  <c r="X52" i="1" s="1"/>
  <c r="K24" i="5"/>
  <c r="Y24" i="5"/>
  <c r="H107" i="5"/>
  <c r="V107" i="5"/>
  <c r="H151" i="5"/>
  <c r="V151" i="5"/>
  <c r="CR59" i="1"/>
  <c r="Q59" i="1" s="1"/>
  <c r="CP59" i="1" s="1"/>
  <c r="O59" i="1" s="1"/>
  <c r="F140" i="5"/>
  <c r="CY47" i="1"/>
  <c r="X47" i="1" s="1"/>
  <c r="AA91" i="5" s="1"/>
  <c r="I92" i="5"/>
  <c r="X91" i="5"/>
  <c r="Y81" i="5"/>
  <c r="K81" i="5"/>
  <c r="Z57" i="5"/>
  <c r="K58" i="5"/>
  <c r="CZ40" i="1"/>
  <c r="Y40" i="1" s="1"/>
  <c r="AB77" i="5" s="1"/>
  <c r="AB47" i="1"/>
  <c r="E91" i="5" s="1"/>
  <c r="AB58" i="1"/>
  <c r="E138" i="5" s="1"/>
  <c r="CZ45" i="1"/>
  <c r="Y45" i="1" s="1"/>
  <c r="AB87" i="5" s="1"/>
  <c r="I127" i="5"/>
  <c r="W127" i="5"/>
  <c r="H57" i="5"/>
  <c r="V57" i="5"/>
  <c r="G103" i="5"/>
  <c r="AB93" i="5"/>
  <c r="U140" i="5"/>
  <c r="K80" i="5"/>
  <c r="Z79" i="5"/>
  <c r="Y129" i="5"/>
  <c r="K129" i="5"/>
  <c r="Z89" i="5"/>
  <c r="K90" i="5"/>
  <c r="G32" i="5"/>
  <c r="AA24" i="5"/>
  <c r="CR56" i="1"/>
  <c r="Q56" i="1" s="1"/>
  <c r="F131" i="5"/>
  <c r="AB49" i="1"/>
  <c r="E105" i="5" s="1"/>
  <c r="CR45" i="1"/>
  <c r="Q45" i="1" s="1"/>
  <c r="F87" i="5"/>
  <c r="AB34" i="1"/>
  <c r="CY34" i="1"/>
  <c r="X34" i="1" s="1"/>
  <c r="I47" i="5"/>
  <c r="X46" i="5"/>
  <c r="CY41" i="1"/>
  <c r="X41" i="1" s="1"/>
  <c r="AA79" i="5" s="1"/>
  <c r="I80" i="5"/>
  <c r="X79" i="5"/>
  <c r="CR39" i="1"/>
  <c r="Q39" i="1" s="1"/>
  <c r="F75" i="5"/>
  <c r="W73" i="5"/>
  <c r="I73" i="5"/>
  <c r="CY44" i="1"/>
  <c r="X44" i="1" s="1"/>
  <c r="AA85" i="5" s="1"/>
  <c r="CZ52" i="1"/>
  <c r="Y52" i="1" s="1"/>
  <c r="CZ46" i="1"/>
  <c r="Y46" i="1" s="1"/>
  <c r="AB89" i="5" s="1"/>
  <c r="X89" i="5"/>
  <c r="I90" i="5"/>
  <c r="CY56" i="1"/>
  <c r="X56" i="1" s="1"/>
  <c r="I132" i="5"/>
  <c r="X131" i="5"/>
  <c r="CY58" i="1"/>
  <c r="X58" i="1" s="1"/>
  <c r="AA138" i="5" s="1"/>
  <c r="I139" i="5"/>
  <c r="X138" i="5"/>
  <c r="CR37" i="1"/>
  <c r="Q37" i="1" s="1"/>
  <c r="F71" i="5"/>
  <c r="I110" i="5"/>
  <c r="X109" i="5"/>
  <c r="I88" i="5"/>
  <c r="X87" i="5"/>
  <c r="I25" i="5"/>
  <c r="X24" i="5"/>
  <c r="Z131" i="5"/>
  <c r="K132" i="5"/>
  <c r="H122" i="5"/>
  <c r="V122" i="5"/>
  <c r="CZ53" i="1"/>
  <c r="Y53" i="1" s="1"/>
  <c r="CR60" i="1"/>
  <c r="Q60" i="1" s="1"/>
  <c r="F151" i="5"/>
  <c r="V75" i="5"/>
  <c r="H75" i="5"/>
  <c r="H93" i="5"/>
  <c r="V93" i="5"/>
  <c r="Y87" i="5"/>
  <c r="K87" i="5"/>
  <c r="GN40" i="1"/>
  <c r="GM40" i="1"/>
  <c r="CY35" i="1"/>
  <c r="X35" i="1" s="1"/>
  <c r="AA57" i="5" s="1"/>
  <c r="CZ35" i="1"/>
  <c r="Y35" i="1" s="1"/>
  <c r="AB57" i="5" s="1"/>
  <c r="CY39" i="1"/>
  <c r="X39" i="1" s="1"/>
  <c r="AA75" i="5" s="1"/>
  <c r="AB41" i="1"/>
  <c r="E79" i="5" s="1"/>
  <c r="CZ41" i="1"/>
  <c r="Y41" i="1" s="1"/>
  <c r="AB79" i="5" s="1"/>
  <c r="AB43" i="1"/>
  <c r="E83" i="5" s="1"/>
  <c r="CY46" i="1"/>
  <c r="X46" i="1" s="1"/>
  <c r="AA89" i="5" s="1"/>
  <c r="BD30" i="1"/>
  <c r="F87" i="1"/>
  <c r="BD92" i="1"/>
  <c r="AB46" i="1"/>
  <c r="E89" i="5" s="1"/>
  <c r="AP30" i="1"/>
  <c r="F71" i="1"/>
  <c r="AP92" i="1"/>
  <c r="CZ49" i="1"/>
  <c r="Y49" i="1" s="1"/>
  <c r="AB105" i="5" s="1"/>
  <c r="CY49" i="1"/>
  <c r="X49" i="1" s="1"/>
  <c r="CP56" i="1"/>
  <c r="O56" i="1" s="1"/>
  <c r="BC30" i="1"/>
  <c r="BC92" i="1"/>
  <c r="F78" i="1"/>
  <c r="CY59" i="1"/>
  <c r="X59" i="1" s="1"/>
  <c r="GN57" i="1"/>
  <c r="CY55" i="1"/>
  <c r="X55" i="1" s="1"/>
  <c r="AA129" i="5" s="1"/>
  <c r="AJ62" i="1"/>
  <c r="GX37" i="1"/>
  <c r="W37" i="1"/>
  <c r="S37" i="1"/>
  <c r="CJ62" i="1"/>
  <c r="P37" i="1"/>
  <c r="U71" i="5" s="1"/>
  <c r="CZ34" i="1"/>
  <c r="Y34" i="1" s="1"/>
  <c r="CP41" i="1"/>
  <c r="O41" i="1" s="1"/>
  <c r="CI30" i="1"/>
  <c r="AZ62" i="1"/>
  <c r="AX30" i="1"/>
  <c r="AX92" i="1"/>
  <c r="F69" i="1"/>
  <c r="CZ54" i="1"/>
  <c r="Y54" i="1" s="1"/>
  <c r="AB127" i="5" s="1"/>
  <c r="CY54" i="1"/>
  <c r="X54" i="1" s="1"/>
  <c r="AA127" i="5" s="1"/>
  <c r="AB56" i="1"/>
  <c r="CZ58" i="1"/>
  <c r="Y58" i="1" s="1"/>
  <c r="AB138" i="5" s="1"/>
  <c r="CZ56" i="1"/>
  <c r="Y56" i="1" s="1"/>
  <c r="CZ33" i="1"/>
  <c r="Y33" i="1" s="1"/>
  <c r="AE62" i="1"/>
  <c r="CP32" i="1"/>
  <c r="O32" i="1" s="1"/>
  <c r="T37" i="1"/>
  <c r="V37" i="1"/>
  <c r="CY43" i="1"/>
  <c r="X43" i="1" s="1"/>
  <c r="AA83" i="5" s="1"/>
  <c r="CY50" i="1"/>
  <c r="X50" i="1" s="1"/>
  <c r="AA107" i="5" s="1"/>
  <c r="AO30" i="1"/>
  <c r="AO92" i="1"/>
  <c r="F66" i="1"/>
  <c r="BB30" i="1"/>
  <c r="F75" i="1"/>
  <c r="BB92" i="1"/>
  <c r="AB50" i="1"/>
  <c r="E107" i="5" s="1"/>
  <c r="AB55" i="1"/>
  <c r="E129" i="5" s="1"/>
  <c r="AQ30" i="1"/>
  <c r="F72" i="1"/>
  <c r="AQ92" i="1"/>
  <c r="GN36" i="1"/>
  <c r="GM36" i="1"/>
  <c r="AG62" i="1"/>
  <c r="CY38" i="1"/>
  <c r="X38" i="1" s="1"/>
  <c r="CZ38" i="1"/>
  <c r="Y38" i="1" s="1"/>
  <c r="AB73" i="5" s="1"/>
  <c r="CP35" i="1"/>
  <c r="O35" i="1" s="1"/>
  <c r="U37" i="1"/>
  <c r="CZ51" i="1"/>
  <c r="Y51" i="1" s="1"/>
  <c r="AB109" i="5" s="1"/>
  <c r="CY51" i="1"/>
  <c r="X51" i="1" s="1"/>
  <c r="CP43" i="1"/>
  <c r="O43" i="1" s="1"/>
  <c r="CZ60" i="1"/>
  <c r="Y60" i="1" s="1"/>
  <c r="AB151" i="5" s="1"/>
  <c r="CY60" i="1"/>
  <c r="X60" i="1" s="1"/>
  <c r="AA151" i="5" s="1"/>
  <c r="CP46" i="1"/>
  <c r="O46" i="1" s="1"/>
  <c r="GM54" i="1"/>
  <c r="CP50" i="1"/>
  <c r="O50" i="1" s="1"/>
  <c r="CP55" i="1"/>
  <c r="O55" i="1" s="1"/>
  <c r="AU30" i="1"/>
  <c r="F81" i="1"/>
  <c r="AU92" i="1"/>
  <c r="CP60" i="1"/>
  <c r="O60" i="1" s="1"/>
  <c r="T140" i="5" l="1"/>
  <c r="G140" i="5"/>
  <c r="G150" i="5"/>
  <c r="GN59" i="1"/>
  <c r="GM59" i="1"/>
  <c r="AD62" i="1"/>
  <c r="I71" i="5"/>
  <c r="W71" i="5"/>
  <c r="G138" i="5"/>
  <c r="T138" i="5"/>
  <c r="G120" i="5"/>
  <c r="AB111" i="5"/>
  <c r="G124" i="5"/>
  <c r="AA122" i="5"/>
  <c r="CP33" i="1"/>
  <c r="O33" i="1" s="1"/>
  <c r="GM33" i="1" s="1"/>
  <c r="W35" i="5"/>
  <c r="I35" i="5"/>
  <c r="G43" i="5"/>
  <c r="AA35" i="5"/>
  <c r="CP49" i="1"/>
  <c r="O49" i="1" s="1"/>
  <c r="W105" i="5"/>
  <c r="I105" i="5"/>
  <c r="G68" i="5"/>
  <c r="AA59" i="5"/>
  <c r="T151" i="5"/>
  <c r="G151" i="5"/>
  <c r="W93" i="5"/>
  <c r="I93" i="5"/>
  <c r="E131" i="5"/>
  <c r="E135" i="5"/>
  <c r="G57" i="5"/>
  <c r="T57" i="5"/>
  <c r="V71" i="5"/>
  <c r="H71" i="5"/>
  <c r="W151" i="5"/>
  <c r="I151" i="5"/>
  <c r="W131" i="5"/>
  <c r="I131" i="5"/>
  <c r="G149" i="5"/>
  <c r="AB140" i="5"/>
  <c r="W91" i="5"/>
  <c r="I91" i="5"/>
  <c r="CP47" i="1"/>
  <c r="O47" i="1" s="1"/>
  <c r="I85" i="5"/>
  <c r="W85" i="5"/>
  <c r="CP44" i="1"/>
  <c r="O44" i="1" s="1"/>
  <c r="G77" i="5"/>
  <c r="T77" i="5"/>
  <c r="CP48" i="1"/>
  <c r="O48" i="1" s="1"/>
  <c r="W107" i="5"/>
  <c r="I107" i="5"/>
  <c r="X71" i="5"/>
  <c r="I156" i="5" s="1"/>
  <c r="I72" i="5"/>
  <c r="T127" i="5"/>
  <c r="G127" i="5"/>
  <c r="AB131" i="5"/>
  <c r="G134" i="5"/>
  <c r="AH62" i="1"/>
  <c r="AH30" i="1" s="1"/>
  <c r="K71" i="5"/>
  <c r="Y71" i="5"/>
  <c r="K155" i="5" s="1"/>
  <c r="AI62" i="1"/>
  <c r="AI30" i="1" s="1"/>
  <c r="K72" i="5"/>
  <c r="Z71" i="5"/>
  <c r="T129" i="5"/>
  <c r="G129" i="5"/>
  <c r="AC62" i="1"/>
  <c r="AC30" i="1" s="1"/>
  <c r="G125" i="5"/>
  <c r="AB122" i="5"/>
  <c r="I89" i="5"/>
  <c r="W89" i="5"/>
  <c r="K156" i="5"/>
  <c r="W129" i="5"/>
  <c r="I129" i="5"/>
  <c r="G69" i="5"/>
  <c r="AB59" i="5"/>
  <c r="I138" i="5"/>
  <c r="W138" i="5"/>
  <c r="I87" i="5"/>
  <c r="W87" i="5"/>
  <c r="G56" i="5"/>
  <c r="G46" i="5"/>
  <c r="T46" i="5"/>
  <c r="T107" i="5"/>
  <c r="G107" i="5"/>
  <c r="T83" i="5"/>
  <c r="G83" i="5"/>
  <c r="GM38" i="1"/>
  <c r="AA73" i="5"/>
  <c r="G34" i="5"/>
  <c r="T24" i="5"/>
  <c r="G24" i="5"/>
  <c r="G135" i="5"/>
  <c r="G131" i="5"/>
  <c r="T131" i="5"/>
  <c r="G54" i="5"/>
  <c r="AA46" i="5"/>
  <c r="CP45" i="1"/>
  <c r="O45" i="1" s="1"/>
  <c r="T73" i="5"/>
  <c r="G73" i="5"/>
  <c r="W83" i="5"/>
  <c r="I83" i="5"/>
  <c r="W111" i="5"/>
  <c r="I111" i="5"/>
  <c r="CP52" i="1"/>
  <c r="O52" i="1" s="1"/>
  <c r="W24" i="5"/>
  <c r="I24" i="5"/>
  <c r="G70" i="5"/>
  <c r="T59" i="5"/>
  <c r="G59" i="5"/>
  <c r="G89" i="5"/>
  <c r="T89" i="5"/>
  <c r="GN51" i="1"/>
  <c r="AA109" i="5"/>
  <c r="GN49" i="1"/>
  <c r="AA105" i="5"/>
  <c r="G133" i="5"/>
  <c r="AA131" i="5"/>
  <c r="E46" i="5"/>
  <c r="E56" i="5"/>
  <c r="T136" i="5"/>
  <c r="G136" i="5"/>
  <c r="W81" i="5"/>
  <c r="I81" i="5"/>
  <c r="CP42" i="1"/>
  <c r="O42" i="1" s="1"/>
  <c r="GM34" i="1"/>
  <c r="AB46" i="5"/>
  <c r="G55" i="5"/>
  <c r="W140" i="5"/>
  <c r="I140" i="5"/>
  <c r="T109" i="5"/>
  <c r="G109" i="5"/>
  <c r="G148" i="5"/>
  <c r="AA140" i="5"/>
  <c r="GO58" i="1"/>
  <c r="G79" i="5"/>
  <c r="T79" i="5"/>
  <c r="GN54" i="1"/>
  <c r="GM58" i="1"/>
  <c r="G44" i="5"/>
  <c r="AB35" i="5"/>
  <c r="I75" i="5"/>
  <c r="W75" i="5"/>
  <c r="G119" i="5"/>
  <c r="AA111" i="5"/>
  <c r="I79" i="5"/>
  <c r="W79" i="5"/>
  <c r="W122" i="5"/>
  <c r="I122" i="5"/>
  <c r="CP53" i="1"/>
  <c r="O53" i="1" s="1"/>
  <c r="W46" i="5"/>
  <c r="I46" i="5"/>
  <c r="W136" i="5"/>
  <c r="I136" i="5"/>
  <c r="H155" i="5"/>
  <c r="CP39" i="1"/>
  <c r="O39" i="1" s="1"/>
  <c r="AD30" i="1"/>
  <c r="Q62" i="1"/>
  <c r="GM35" i="1"/>
  <c r="GN35" i="1"/>
  <c r="AQ26" i="1"/>
  <c r="F102" i="1"/>
  <c r="AQ125" i="1"/>
  <c r="GM32" i="1"/>
  <c r="GN32" i="1"/>
  <c r="CP37" i="1"/>
  <c r="O37" i="1" s="1"/>
  <c r="BC26" i="1"/>
  <c r="BC125" i="1"/>
  <c r="F108" i="1"/>
  <c r="GM51" i="1"/>
  <c r="GO60" i="1"/>
  <c r="GM60" i="1"/>
  <c r="GM46" i="1"/>
  <c r="GN46" i="1"/>
  <c r="BB26" i="1"/>
  <c r="F105" i="1"/>
  <c r="BB125" i="1"/>
  <c r="AO26" i="1"/>
  <c r="F96" i="1"/>
  <c r="AO125" i="1"/>
  <c r="AE30" i="1"/>
  <c r="R62" i="1"/>
  <c r="AX26" i="1"/>
  <c r="F99" i="1"/>
  <c r="AX125" i="1"/>
  <c r="AZ30" i="1"/>
  <c r="F73" i="1"/>
  <c r="AZ92" i="1"/>
  <c r="GM41" i="1"/>
  <c r="GN41" i="1"/>
  <c r="CJ30" i="1"/>
  <c r="BA62" i="1"/>
  <c r="AP26" i="1"/>
  <c r="F101" i="1"/>
  <c r="AP125" i="1"/>
  <c r="BD26" i="1"/>
  <c r="BD125" i="1"/>
  <c r="F117" i="1"/>
  <c r="GN34" i="1"/>
  <c r="GM55" i="1"/>
  <c r="GO55" i="1"/>
  <c r="AU26" i="1"/>
  <c r="AU125" i="1"/>
  <c r="F111" i="1"/>
  <c r="GM50" i="1"/>
  <c r="GN50" i="1"/>
  <c r="GO43" i="1"/>
  <c r="GM43" i="1"/>
  <c r="AJ30" i="1"/>
  <c r="W62" i="1"/>
  <c r="GO56" i="1"/>
  <c r="GM56" i="1"/>
  <c r="GM49" i="1"/>
  <c r="GN38" i="1"/>
  <c r="AG30" i="1"/>
  <c r="T62" i="1"/>
  <c r="CF62" i="1"/>
  <c r="CY37" i="1"/>
  <c r="X37" i="1" s="1"/>
  <c r="CZ37" i="1"/>
  <c r="Y37" i="1" s="1"/>
  <c r="AF62" i="1"/>
  <c r="T85" i="5" l="1"/>
  <c r="G85" i="5"/>
  <c r="GM44" i="1"/>
  <c r="GN44" i="1"/>
  <c r="T75" i="5"/>
  <c r="G75" i="5"/>
  <c r="GN39" i="1"/>
  <c r="GM39" i="1"/>
  <c r="T81" i="5"/>
  <c r="G81" i="5"/>
  <c r="GN42" i="1"/>
  <c r="GM42" i="1"/>
  <c r="G45" i="5"/>
  <c r="G35" i="5"/>
  <c r="T35" i="5"/>
  <c r="AL62" i="1"/>
  <c r="AL30" i="1" s="1"/>
  <c r="AB71" i="5"/>
  <c r="AK62" i="1"/>
  <c r="AA71" i="5"/>
  <c r="CH62" i="1"/>
  <c r="AY62" i="1" s="1"/>
  <c r="GN33" i="1"/>
  <c r="T71" i="5"/>
  <c r="G71" i="5"/>
  <c r="T91" i="5"/>
  <c r="G155" i="5" s="1"/>
  <c r="G91" i="5"/>
  <c r="GN47" i="1"/>
  <c r="GM47" i="1"/>
  <c r="T105" i="5"/>
  <c r="G105" i="5"/>
  <c r="T87" i="5"/>
  <c r="G87" i="5"/>
  <c r="GN45" i="1"/>
  <c r="CB62" i="1" s="1"/>
  <c r="GM45" i="1"/>
  <c r="CE62" i="1"/>
  <c r="U62" i="1"/>
  <c r="G121" i="5"/>
  <c r="T111" i="5"/>
  <c r="G111" i="5"/>
  <c r="GM52" i="1"/>
  <c r="G93" i="5"/>
  <c r="T93" i="5"/>
  <c r="G104" i="5"/>
  <c r="GM48" i="1"/>
  <c r="GN48" i="1"/>
  <c r="GN52" i="1"/>
  <c r="I155" i="5"/>
  <c r="P62" i="1"/>
  <c r="P92" i="1" s="1"/>
  <c r="V62" i="1"/>
  <c r="G122" i="5"/>
  <c r="T122" i="5"/>
  <c r="G126" i="5"/>
  <c r="GM53" i="1"/>
  <c r="GO53" i="1"/>
  <c r="W30" i="1"/>
  <c r="W92" i="1"/>
  <c r="F86" i="1"/>
  <c r="CC62" i="1"/>
  <c r="AU22" i="1"/>
  <c r="AU158" i="1"/>
  <c r="F144" i="1"/>
  <c r="AP22" i="1"/>
  <c r="F134" i="1"/>
  <c r="G16" i="2" s="1"/>
  <c r="G18" i="2" s="1"/>
  <c r="AP158" i="1"/>
  <c r="U30" i="1"/>
  <c r="F84" i="1"/>
  <c r="U92" i="1"/>
  <c r="AF30" i="1"/>
  <c r="S62" i="1"/>
  <c r="CF30" i="1"/>
  <c r="AW62" i="1"/>
  <c r="T30" i="1"/>
  <c r="F83" i="1"/>
  <c r="T92" i="1"/>
  <c r="R30" i="1"/>
  <c r="R92" i="1"/>
  <c r="F76" i="1"/>
  <c r="GM37" i="1"/>
  <c r="CA62" i="1" s="1"/>
  <c r="GN37" i="1"/>
  <c r="V30" i="1"/>
  <c r="V92" i="1"/>
  <c r="F85" i="1"/>
  <c r="CH30" i="1"/>
  <c r="CE30" i="1"/>
  <c r="AV62" i="1"/>
  <c r="BD22" i="1"/>
  <c r="F150" i="1"/>
  <c r="H159" i="5" s="1"/>
  <c r="BD158" i="1"/>
  <c r="AX22" i="1"/>
  <c r="AX158" i="1"/>
  <c r="F132" i="1"/>
  <c r="BB22" i="1"/>
  <c r="F138" i="1"/>
  <c r="BB158" i="1"/>
  <c r="AB62" i="1"/>
  <c r="Q30" i="1"/>
  <c r="F74" i="1"/>
  <c r="Q92" i="1"/>
  <c r="AK30" i="1"/>
  <c r="X62" i="1"/>
  <c r="BA30" i="1"/>
  <c r="BA92" i="1"/>
  <c r="F82" i="1"/>
  <c r="AZ26" i="1"/>
  <c r="F103" i="1"/>
  <c r="AZ125" i="1"/>
  <c r="AO22" i="1"/>
  <c r="F129" i="1"/>
  <c r="AO158" i="1"/>
  <c r="BC22" i="1"/>
  <c r="F141" i="1"/>
  <c r="BC158" i="1"/>
  <c r="AQ22" i="1"/>
  <c r="F135" i="1"/>
  <c r="AQ158" i="1"/>
  <c r="F65" i="1" l="1"/>
  <c r="Y62" i="1"/>
  <c r="P30" i="1"/>
  <c r="CA30" i="1"/>
  <c r="AR62" i="1"/>
  <c r="AB30" i="1"/>
  <c r="O62" i="1"/>
  <c r="AY30" i="1"/>
  <c r="AY92" i="1"/>
  <c r="F70" i="1"/>
  <c r="AW30" i="1"/>
  <c r="AW92" i="1"/>
  <c r="F68" i="1"/>
  <c r="U26" i="1"/>
  <c r="F114" i="1"/>
  <c r="U125" i="1"/>
  <c r="AP18" i="1"/>
  <c r="F167" i="1"/>
  <c r="AU18" i="1"/>
  <c r="F177" i="1"/>
  <c r="W26" i="1"/>
  <c r="F116" i="1"/>
  <c r="W125" i="1"/>
  <c r="CB30" i="1"/>
  <c r="AS62" i="1"/>
  <c r="AZ22" i="1"/>
  <c r="F136" i="1"/>
  <c r="AZ158" i="1"/>
  <c r="BA26" i="1"/>
  <c r="F112" i="1"/>
  <c r="BA125" i="1"/>
  <c r="Q26" i="1"/>
  <c r="Q125" i="1"/>
  <c r="F104" i="1"/>
  <c r="BB18" i="1"/>
  <c r="F171" i="1"/>
  <c r="AX18" i="1"/>
  <c r="F165" i="1"/>
  <c r="T26" i="1"/>
  <c r="T125" i="1"/>
  <c r="F113" i="1"/>
  <c r="AO18" i="1"/>
  <c r="F162" i="1"/>
  <c r="P26" i="1"/>
  <c r="P125" i="1"/>
  <c r="F95" i="1"/>
  <c r="V26" i="1"/>
  <c r="F115" i="1"/>
  <c r="V125" i="1"/>
  <c r="S30" i="1"/>
  <c r="S92" i="1"/>
  <c r="F77" i="1"/>
  <c r="CC30" i="1"/>
  <c r="AT62" i="1"/>
  <c r="Y30" i="1"/>
  <c r="F89" i="1"/>
  <c r="Y92" i="1"/>
  <c r="AV30" i="1"/>
  <c r="F67" i="1"/>
  <c r="AV92" i="1"/>
  <c r="AQ18" i="1"/>
  <c r="F168" i="1"/>
  <c r="BC18" i="1"/>
  <c r="F174" i="1"/>
  <c r="X30" i="1"/>
  <c r="F88" i="1"/>
  <c r="X92" i="1"/>
  <c r="BD18" i="1"/>
  <c r="F183" i="1"/>
  <c r="R26" i="1"/>
  <c r="F106" i="1"/>
  <c r="R125" i="1"/>
  <c r="X26" i="1" l="1"/>
  <c r="F118" i="1"/>
  <c r="X125" i="1"/>
  <c r="S26" i="1"/>
  <c r="F107" i="1"/>
  <c r="S125" i="1"/>
  <c r="BA22" i="1"/>
  <c r="F145" i="1"/>
  <c r="H16" i="2" s="1"/>
  <c r="H18" i="2" s="1"/>
  <c r="BA158" i="1"/>
  <c r="W22" i="1"/>
  <c r="F149" i="1"/>
  <c r="W158" i="1"/>
  <c r="O30" i="1"/>
  <c r="F64" i="1"/>
  <c r="O92" i="1"/>
  <c r="AT30" i="1"/>
  <c r="F80" i="1"/>
  <c r="AT92" i="1"/>
  <c r="Y26" i="1"/>
  <c r="F119" i="1"/>
  <c r="Y125" i="1"/>
  <c r="V22" i="1"/>
  <c r="V158" i="1"/>
  <c r="F148" i="1"/>
  <c r="P22" i="1"/>
  <c r="P158" i="1"/>
  <c r="F128" i="1"/>
  <c r="Q22" i="1"/>
  <c r="F137" i="1"/>
  <c r="Q158" i="1"/>
  <c r="AS30" i="1"/>
  <c r="F79" i="1"/>
  <c r="AS92" i="1"/>
  <c r="AY26" i="1"/>
  <c r="AY125" i="1"/>
  <c r="F100" i="1"/>
  <c r="AR30" i="1"/>
  <c r="F90" i="1"/>
  <c r="AR92" i="1"/>
  <c r="R22" i="1"/>
  <c r="R158" i="1"/>
  <c r="F139" i="1"/>
  <c r="AV26" i="1"/>
  <c r="AV125" i="1"/>
  <c r="F97" i="1"/>
  <c r="T22" i="1"/>
  <c r="F146" i="1"/>
  <c r="T158" i="1"/>
  <c r="AZ18" i="1"/>
  <c r="F169" i="1"/>
  <c r="U22" i="1"/>
  <c r="F147" i="1"/>
  <c r="U158" i="1"/>
  <c r="AW26" i="1"/>
  <c r="F98" i="1"/>
  <c r="AW125" i="1"/>
  <c r="AW22" i="1" l="1"/>
  <c r="AW158" i="1"/>
  <c r="F131" i="1"/>
  <c r="T18" i="1"/>
  <c r="F179" i="1"/>
  <c r="AV22" i="1"/>
  <c r="F130" i="1"/>
  <c r="AV158" i="1"/>
  <c r="W18" i="1"/>
  <c r="F182" i="1"/>
  <c r="U18" i="1"/>
  <c r="F180" i="1"/>
  <c r="I14" i="5" s="1"/>
  <c r="AY22" i="1"/>
  <c r="F133" i="1"/>
  <c r="AY158" i="1"/>
  <c r="V18" i="1"/>
  <c r="F181" i="1"/>
  <c r="O26" i="1"/>
  <c r="F94" i="1"/>
  <c r="O125" i="1"/>
  <c r="X22" i="1"/>
  <c r="F151" i="1"/>
  <c r="H160" i="5" s="1"/>
  <c r="X158" i="1"/>
  <c r="AR26" i="1"/>
  <c r="AR125" i="1"/>
  <c r="F120" i="1"/>
  <c r="F121" i="1" s="1"/>
  <c r="Q18" i="1"/>
  <c r="F170" i="1"/>
  <c r="P18" i="1"/>
  <c r="F161" i="1"/>
  <c r="AT26" i="1"/>
  <c r="F110" i="1"/>
  <c r="AT125" i="1"/>
  <c r="S22" i="1"/>
  <c r="S158" i="1"/>
  <c r="F140" i="1"/>
  <c r="J16" i="2" s="1"/>
  <c r="J18" i="2" s="1"/>
  <c r="R18" i="1"/>
  <c r="F172" i="1"/>
  <c r="AS26" i="1"/>
  <c r="AS125" i="1"/>
  <c r="F109" i="1"/>
  <c r="Y22" i="1"/>
  <c r="F152" i="1"/>
  <c r="H161" i="5" s="1"/>
  <c r="Y158" i="1"/>
  <c r="BA18" i="1"/>
  <c r="F178" i="1"/>
  <c r="AT22" i="1" l="1"/>
  <c r="AT158" i="1"/>
  <c r="F143" i="1"/>
  <c r="F16" i="2" s="1"/>
  <c r="F18" i="2" s="1"/>
  <c r="AR22" i="1"/>
  <c r="F153" i="1"/>
  <c r="AR158" i="1"/>
  <c r="Y18" i="1"/>
  <c r="F185" i="1"/>
  <c r="AS22" i="1"/>
  <c r="AS158" i="1"/>
  <c r="F142" i="1"/>
  <c r="E16" i="2" s="1"/>
  <c r="O22" i="1"/>
  <c r="O158" i="1"/>
  <c r="F127" i="1"/>
  <c r="AV18" i="1"/>
  <c r="F163" i="1"/>
  <c r="S18" i="1"/>
  <c r="F173" i="1"/>
  <c r="I15" i="5" s="1"/>
  <c r="X18" i="1"/>
  <c r="F184" i="1"/>
  <c r="AY18" i="1"/>
  <c r="F166" i="1"/>
  <c r="F122" i="1"/>
  <c r="F123" i="1" s="1"/>
  <c r="AW18" i="1"/>
  <c r="F164" i="1"/>
  <c r="F154" i="1" l="1"/>
  <c r="H163" i="5" s="1"/>
  <c r="H162" i="5"/>
  <c r="F155" i="1"/>
  <c r="H164" i="5" s="1"/>
  <c r="F156" i="1"/>
  <c r="H165" i="5" s="1"/>
  <c r="I13" i="5" s="1"/>
  <c r="E18" i="2"/>
  <c r="I16" i="2"/>
  <c r="I18" i="2" s="1"/>
  <c r="AS18" i="1"/>
  <c r="F175" i="1"/>
  <c r="AR18" i="1"/>
  <c r="F186" i="1"/>
  <c r="AT18" i="1"/>
  <c r="F176" i="1"/>
  <c r="O18" i="1"/>
  <c r="F160" i="1"/>
</calcChain>
</file>

<file path=xl/sharedStrings.xml><?xml version="1.0" encoding="utf-8"?>
<sst xmlns="http://schemas.openxmlformats.org/spreadsheetml/2006/main" count="3130" uniqueCount="473">
  <si>
    <t>Smeta.RU  (495) 974-1589</t>
  </si>
  <si>
    <t>_PS_</t>
  </si>
  <si>
    <t>Smeta.RU</t>
  </si>
  <si>
    <t/>
  </si>
  <si>
    <t>ул. Юрьева, 1/6 Освещение</t>
  </si>
  <si>
    <t>Сметные нормы списания</t>
  </si>
  <si>
    <t>Коды ценников</t>
  </si>
  <si>
    <t>ТСНБ Смоленской области 2014</t>
  </si>
  <si>
    <t>ТР для Версии 11: Центральные регионы (с уч. п-ма 2536-ИП/12/ГС от 27.11.12, 01/57049-ЮЛ от 27.04.2018) от 27.04.2020 г</t>
  </si>
  <si>
    <t>ТСНБ-2001 Смоленской области (редакция 2014 г)</t>
  </si>
  <si>
    <t>Новая локальная смета</t>
  </si>
  <si>
    <t>*1,25</t>
  </si>
  <si>
    <t>*1,15</t>
  </si>
  <si>
    <t>Новый раздел</t>
  </si>
  <si>
    <t>2. Прокладка сети уличного освещения</t>
  </si>
  <si>
    <t>Новый подраздел</t>
  </si>
  <si>
    <t>Монтажные работы</t>
  </si>
  <si>
    <t>1</t>
  </si>
  <si>
    <t>33-04-016-2</t>
  </si>
  <si>
    <t>Развозка конструкций и материалов опор ВЛ 0,38-10 кВ по трассе: одностоечных железобетонных опор</t>
  </si>
  <si>
    <t>1 ОПОРА</t>
  </si>
  <si>
    <t>ТЕР Смоленской обл.,33-04-016-2 Пр. Минстроя России от 13.03.2015 № 171/пр</t>
  </si>
  <si>
    <t>Общестроительные работы</t>
  </si>
  <si>
    <t>Линии элекропередач</t>
  </si>
  <si>
    <t>ФЕР-33</t>
  </si>
  <si>
    <t>*0,85</t>
  </si>
  <si>
    <t>2</t>
  </si>
  <si>
    <t>33-04-016-5</t>
  </si>
  <si>
    <t>Развозка конструкций и материалов опор ВЛ 0,38-10 кВ по трассе: материалов оснастки одностоечных опор</t>
  </si>
  <si>
    <t>ТЕР Смоленской обл.,33-04-016-5 Пр. Минстроя России от 13.03.2015 № 171/пр</t>
  </si>
  <si>
    <t>3</t>
  </si>
  <si>
    <t>33-04-003-1</t>
  </si>
  <si>
    <t>Установка железобетонных опор ВЛ 0,38; 6-10 кВ с траверсами без приставок: одностоечных</t>
  </si>
  <si>
    <t>ТЕР Смоленской обл.,33-04-003-1 Пр. Минстроя России от 13.03.2015 № 171/пр</t>
  </si>
  <si>
    <t>3,1</t>
  </si>
  <si>
    <t>403-1947</t>
  </si>
  <si>
    <t>Стойка опоры СВ 110-5 /бетон В30 (М400), объем 0,45 м3, расход арматуры 77,08 кг/ (серия 3.407.1-143 вып. 7)</t>
  </si>
  <si>
    <t>шт.</t>
  </si>
  <si>
    <t>ТССЦ Смоленской обл.,403-1947 Пр. Минстроя России от 13.03.2015 № 171/пр</t>
  </si>
  <si>
    <t>4</t>
  </si>
  <si>
    <t>33-04-017-1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</si>
  <si>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</si>
  <si>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</si>
  <si>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ТЕР Смоленской обл.,33-04-017-1 Пр. Минстроя России от 13.03.2015 № 171/пр</t>
  </si>
  <si>
    <t>1000 М</t>
  </si>
  <si>
    <t>4,1</t>
  </si>
  <si>
    <t>Прайс-лист стр.2.</t>
  </si>
  <si>
    <t>Зажим ответвительный Р21</t>
  </si>
  <si>
    <t>ТССЦ Смоленской обл.,111-3161 Пр. Минстроя России от 13.03.2015 № 171/пр</t>
  </si>
  <si>
    <t>[343,97 / 1,2 /  8,21] +  2% Трансп</t>
  </si>
  <si>
    <t>0</t>
  </si>
  <si>
    <t>4,2</t>
  </si>
  <si>
    <t>Прайс-лист стр.3</t>
  </si>
  <si>
    <t>Зажим плашечный CD35</t>
  </si>
  <si>
    <t>[115,13 / 1,2 /  8,21] +  2% Трансп</t>
  </si>
  <si>
    <t>4,3</t>
  </si>
  <si>
    <t>Прайс-лист стр.4</t>
  </si>
  <si>
    <t>Зажим анкерный для проводов ввода(DN 126)</t>
  </si>
  <si>
    <t>[238,6 / 1,2 /  8,21] +  2% Трансп</t>
  </si>
  <si>
    <t>4,4</t>
  </si>
  <si>
    <t>Прайс-лист стр.5</t>
  </si>
  <si>
    <t>Зажим прокалывающий P 616 R</t>
  </si>
  <si>
    <t>[210,25 / 1,2 /  8,21] +  2% Трансп</t>
  </si>
  <si>
    <t>4,5</t>
  </si>
  <si>
    <t>111-3161</t>
  </si>
  <si>
    <t>Хомут стяжной (СИП) Е778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</si>
  <si>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</si>
  <si>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</si>
  <si>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</si>
  <si>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4,6</t>
  </si>
  <si>
    <t>111-0139</t>
  </si>
  <si>
    <t>Зажим ответвительный с прокалыванием изоляции (СИП) P 645</t>
  </si>
  <si>
    <t>ТССЦ Смоленской обл.,111-0139 Пр. Минстроя России от 13.03.2015 № 171/пр</t>
  </si>
  <si>
    <t>4,7</t>
  </si>
  <si>
    <t>509-1716</t>
  </si>
  <si>
    <t>Зажим соединительный плашечный ПС-2-1</t>
  </si>
  <si>
    <t>ТССЦ Смоленской обл.,509-1716 Пр. Минстроя России от 13.03.2015 № 171/пр</t>
  </si>
  <si>
    <t>Материалы монтажные</t>
  </si>
  <si>
    <t>Материалы и конструкции ( монтажные )  по ценникам и каталогам</t>
  </si>
  <si>
    <t>ФССЦм</t>
  </si>
  <si>
    <t>4,8</t>
  </si>
  <si>
    <t>502-0876</t>
  </si>
  <si>
    <t>Провода самонесущие изолированные для воздушных линий электропередачи с алюминиевыми жилами марки СИП-4 2х25-0,6/1,0</t>
  </si>
  <si>
    <t>ТССЦ Смоленской обл.,502-0876 Пр. Минстроя России от 13.03.2015 № 171/пр</t>
  </si>
  <si>
    <t>4,9</t>
  </si>
  <si>
    <t>111-0156</t>
  </si>
  <si>
    <t>Кронштейн анкерный (СИП), марка CA 1500</t>
  </si>
  <si>
    <t>ТССЦ Смоленской обл.,111-0156 Пр. Минстроя России от 13.03.2015 № 171/пр</t>
  </si>
  <si>
    <t>4,10</t>
  </si>
  <si>
    <t>111-3138</t>
  </si>
  <si>
    <t>Комплект для простого анкерного крепления ЕА1500-3 в составе: кронштейн CS10.3, зажим РА1500</t>
  </si>
  <si>
    <t>компл.</t>
  </si>
  <si>
    <t>ТССЦ Смоленской обл.,111-3138 Пр. Минстроя России от 13.03.2015 № 171/пр</t>
  </si>
  <si>
    <t>4,11</t>
  </si>
  <si>
    <t>111-3141</t>
  </si>
  <si>
    <t>Комплект промежуточной подвески (СИП) ES 1500E</t>
  </si>
  <si>
    <t>ТССЦ Смоленской обл.,111-3141 Пр. Минстроя России от 13.03.2015 № 171/пр</t>
  </si>
  <si>
    <t>5</t>
  </si>
  <si>
    <t>33-04-015-1</t>
  </si>
  <si>
    <t>Устройство заземления опор ВЛ и подстанций</t>
  </si>
  <si>
    <t>10 м шин заземления</t>
  </si>
  <si>
    <t>ТЕР Смоленской обл.,33-04-015-1 Пр. Минстроя России от 13.03.2015 № 171/пр</t>
  </si>
  <si>
    <t>5,1</t>
  </si>
  <si>
    <t>204-0004</t>
  </si>
  <si>
    <t>Горячекатаная арматурная сталь гладкая класса А-I, диаметром 12 мм</t>
  </si>
  <si>
    <t>т</t>
  </si>
  <si>
    <t>ТССЦ Смоленской обл.,204-0004 Пр. Минстроя России от 13.03.2015 № 171/пр</t>
  </si>
  <si>
    <t>5,2</t>
  </si>
  <si>
    <t>204-0003</t>
  </si>
  <si>
    <t>Горячекатаная арматурная сталь гладкая класса А-I, диаметром 10 мм</t>
  </si>
  <si>
    <t>ТССЦ Смоленской обл.,204-0003 Пр. Минстроя России от 13.03.2015 № 171/пр</t>
  </si>
  <si>
    <t>5,3</t>
  </si>
  <si>
    <t>Прайс-лист стр.8</t>
  </si>
  <si>
    <t>Заземляющий проводник ЗП-6 1м (ZP-6-1)</t>
  </si>
  <si>
    <t>[226,52 / 1,2 /  8,21] +  2% Трансп</t>
  </si>
  <si>
    <t>6</t>
  </si>
  <si>
    <t>33-03-004-2</t>
  </si>
  <si>
    <t>Забивка вертикальных заземлителей вручную на глубину до 3 м</t>
  </si>
  <si>
    <t>1 заземлитель</t>
  </si>
  <si>
    <t>ТЕР Смоленской обл.,33-03-004-2 Пр. Минстроя России от 13.03.2015 № 171/пр</t>
  </si>
  <si>
    <t>7</t>
  </si>
  <si>
    <t>м08-02-363-2</t>
  </si>
  <si>
    <t>Кронштейны специальные на опорах для светильников сварные металлические, количество рожков: 2</t>
  </si>
  <si>
    <t>1  ШТ.</t>
  </si>
  <si>
    <t>ТЕР Смоленской обл.,м08-02-363-2 Пр. Минстроя России от 13.03.2015 № 171/пр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</si>
  <si>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</si>
  <si>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</si>
  <si>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7,1</t>
  </si>
  <si>
    <t>201-1428</t>
  </si>
  <si>
    <t>Кронштейн для консольных и подвесных светильников, серия 1 (Стандарт), марка 1.К2-1,0-1,0-/180-Ф1-ц (ТАНС.41.256.000)</t>
  </si>
  <si>
    <t>ТССЦ Смоленской обл.,201-1428 Пр. Минстроя России от 13.03.2015 № 171/пр</t>
  </si>
  <si>
    <t>7,2</t>
  </si>
  <si>
    <t>501-8235</t>
  </si>
  <si>
    <t>Кабель силовой с медными жилами с поливинилхлоридной изоляцией в поливинилхлоридной оболочке без защитного покрова ВВГ, напряжением 1,00 Кв, число жил - 3 и сечением 1,5 мм2</t>
  </si>
  <si>
    <t>ТССЦ Смоленской обл.,501-8235 Пр. Минстроя России от 13.03.2015 № 171/пр</t>
  </si>
  <si>
    <t>8</t>
  </si>
  <si>
    <t>м08-02-369-3</t>
  </si>
  <si>
    <t>Светильник, устанавливаемый вне зданий с лампами: ртутными</t>
  </si>
  <si>
    <t>ТЕР Смоленской обл.,м08-02-369-3 Пр. Минстроя России от 13.03.2015 № 171/пр</t>
  </si>
  <si>
    <t>8,1</t>
  </si>
  <si>
    <t>Коммерческое предложение ООО "Световые Технологии ЭСКО" от 14.02.2020г.</t>
  </si>
  <si>
    <t>светильник CORVETTE MINI LED 55 W 4000K</t>
  </si>
  <si>
    <t>[9 095 / 1,2 /  8,21] +  2% Трансп</t>
  </si>
  <si>
    <t>8,2</t>
  </si>
  <si>
    <t>502-0246</t>
  </si>
  <si>
    <t>Провода неизолированные для воздушных линий электропередачи медные марки М, сечением 4 мм2</t>
  </si>
  <si>
    <t>ТССЦ Смоленской обл.,502-0246 Пр. Минстроя России от 13.03.2015 № 171/пр</t>
  </si>
  <si>
    <t>9</t>
  </si>
  <si>
    <t>33-04-030-1</t>
  </si>
  <si>
    <t>Установка разрядников: с помощью механизмов (ограничитель перенапряжения)</t>
  </si>
  <si>
    <t>1 КОМПЛ.</t>
  </si>
  <si>
    <t>ТЕР Смоленской обл.,33-04-030-1 Пр. Минстроя России от 13.03.2015 № 171/пр</t>
  </si>
  <si>
    <t>)*1,25</t>
  </si>
  <si>
    <t>)*1,15</t>
  </si>
  <si>
    <t>9,1</t>
  </si>
  <si>
    <t>509-8262</t>
  </si>
  <si>
    <t>Ограничитель напряжения до 1 кВ</t>
  </si>
  <si>
    <t>ТССЦ Смоленской обл.,509-8262 Пр. Минстроя России от 13.03.2015 № 171/пр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</si>
  <si>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</si>
  <si>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</si>
  <si>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</si>
  <si>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</si>
  <si>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</si>
  <si>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</si>
  <si>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</si>
  <si>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</si>
  <si>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</si>
  <si>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</si>
  <si>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</si>
  <si>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</si>
  <si>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</si>
  <si>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</si>
  <si>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</si>
  <si>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</si>
  <si>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</si>
  <si>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</si>
  <si>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</si>
  <si>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</si>
  <si>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</si>
  <si>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</si>
  <si>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</si>
  <si>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</si>
  <si>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</si>
  <si>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</si>
  <si>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</si>
  <si>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</si>
  <si>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</si>
  <si>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</si>
  <si>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</si>
  <si>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</si>
  <si>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</si>
  <si>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</si>
  <si>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</si>
  <si>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</si>
  <si>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</si>
  <si>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</si>
  <si>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</si>
  <si>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</si>
  <si>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</si>
  <si>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</si>
  <si>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</si>
  <si>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</si>
  <si>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</si>
  <si>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</si>
  <si>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</si>
  <si>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</si>
  <si>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</si>
  <si>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</si>
  <si>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</si>
  <si>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</si>
  <si>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</si>
  <si>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</si>
  <si>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Итого10</t>
  </si>
  <si>
    <t>Индекс на 3 квартал 2020г. -8,21</t>
  </si>
  <si>
    <t>В</t>
  </si>
  <si>
    <t>НДС 20%</t>
  </si>
  <si>
    <t>авыф</t>
  </si>
  <si>
    <t>Всего по смете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</si>
  <si>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</si>
  <si>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</si>
  <si>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</si>
  <si>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</si>
  <si>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</si>
  <si>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</si>
  <si>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</si>
  <si>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</si>
  <si>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</si>
  <si>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</si>
  <si>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</si>
  <si>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</si>
  <si>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</si>
  <si>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</si>
  <si>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</si>
  <si>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</si>
  <si>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</si>
  <si>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</si>
  <si>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</si>
  <si>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</si>
  <si>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</si>
  <si>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</si>
  <si>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</si>
  <si>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</si>
  <si>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</si>
  <si>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</si>
  <si>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</si>
  <si>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</si>
  <si>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</si>
  <si>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</si>
  <si>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</si>
  <si>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</si>
  <si>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</si>
  <si>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</si>
  <si>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</si>
  <si>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</si>
  <si>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</si>
  <si>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</si>
  <si>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</si>
  <si>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</si>
  <si>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</si>
  <si>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</si>
  <si>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</si>
  <si>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</si>
  <si>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</si>
  <si>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</si>
  <si>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</si>
  <si>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</si>
  <si>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</si>
  <si>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</si>
  <si>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</si>
  <si>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</si>
  <si>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</si>
  <si>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</si>
  <si>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</si>
  <si>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</si>
  <si>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</si>
  <si>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</si>
  <si>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</si>
  <si>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</si>
  <si>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</si>
  <si>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</si>
  <si>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</si>
  <si>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1-1025-67</t>
  </si>
  <si>
    <t>Затраты труда рабочих (средний разряд работы 2,5)</t>
  </si>
  <si>
    <t>чел.ч</t>
  </si>
  <si>
    <t>ЧЕЛ.Ч</t>
  </si>
  <si>
    <t>Затраты труда машинистов</t>
  </si>
  <si>
    <t>чел.час</t>
  </si>
  <si>
    <t>010201</t>
  </si>
  <si>
    <t>ТСЭМ Смоленской обл.,010201 Пр. Минстроя России от 13.03.2015 № 171/пр</t>
  </si>
  <si>
    <t>Прицепы тракторные 2 т</t>
  </si>
  <si>
    <t>маш.час</t>
  </si>
  <si>
    <t>010410</t>
  </si>
  <si>
    <t>ТСЭМ Смоленской обл.,010410 Пр. Минстроя России от 13.03.2015 № 171/пр</t>
  </si>
  <si>
    <t>Тракторы на пневмоколесном ходу при работе на других видах строительства 59 кВт (80 л.с.)</t>
  </si>
  <si>
    <t>021141</t>
  </si>
  <si>
    <t>ТСЭМ Смоленской обл.,021141 Пр. Минстроя России от 13.03.2015 № 171/пр</t>
  </si>
  <si>
    <t>Краны на автомобильном ходу при работе на других видах строительства 10 т</t>
  </si>
  <si>
    <t>1-1033-67</t>
  </si>
  <si>
    <t>Затраты труда рабочих (средний разряд работы 3,3)</t>
  </si>
  <si>
    <t>160402</t>
  </si>
  <si>
    <t>ТСЭМ Смоленской обл.,160402 Пр. Минстроя России от 13.03.2015 № 171/пр</t>
  </si>
  <si>
    <t>Машины бурильно-крановые на автомобиле, глубина бурения 3,5 м</t>
  </si>
  <si>
    <t>400001</t>
  </si>
  <si>
    <t>ТСЭМ Смоленской обл.,400001 Пр. Минстроя России от 13.03.2015 № 171/пр</t>
  </si>
  <si>
    <t>Автомобили бортовые, грузоподъемность до 5 т</t>
  </si>
  <si>
    <t>101-0404</t>
  </si>
  <si>
    <t>ТССЦ Смоленской обл.,101-0404 Пр. Минстроя России от 13.03.2015 № 171/пр</t>
  </si>
  <si>
    <t>Краска для наружных работ черная, марок МА-015, ПФ-014</t>
  </si>
  <si>
    <t>101-0962</t>
  </si>
  <si>
    <t>ТССЦ Смоленской обл.,101-0962 Пр. Минстроя России от 13.03.2015 № 171/пр</t>
  </si>
  <si>
    <t>Смазка солидол жировой марки &lt;Ж&gt;</t>
  </si>
  <si>
    <t>101-1757</t>
  </si>
  <si>
    <t>ТССЦ Смоленской обл.,101-1757 Пр. Минстроя России от 13.03.2015 № 171/пр</t>
  </si>
  <si>
    <t>Ветошь</t>
  </si>
  <si>
    <t>кг</t>
  </si>
  <si>
    <t>101-2349</t>
  </si>
  <si>
    <t>ТССЦ Смоленской обл.,101-2349 Пр. Минстроя России от 13.03.2015 № 171/пр</t>
  </si>
  <si>
    <t>Смазка ЗЭС</t>
  </si>
  <si>
    <t>113-0079</t>
  </si>
  <si>
    <t>ТССЦ Смоленской обл.,113-0079 Пр. Минстроя России от 13.03.2015 № 171/пр</t>
  </si>
  <si>
    <t>Лак БТ-577</t>
  </si>
  <si>
    <t>509-1073</t>
  </si>
  <si>
    <t>ТССЦ Смоленской обл.,509-1073 Пр. Минстроя России от 13.03.2015 № 171/пр</t>
  </si>
  <si>
    <t>Колпачки полиэтиленовые</t>
  </si>
  <si>
    <t>1-1039-67</t>
  </si>
  <si>
    <t>Затраты труда рабочих (средний разряд работы 3,9)</t>
  </si>
  <si>
    <t>030202</t>
  </si>
  <si>
    <t>ТСЭМ Смоленской обл.,030202 Пр. Минстроя России от 13.03.2015 № 171/пр</t>
  </si>
  <si>
    <t>Домкраты гидравлические грузоподъемностью 6,3-25 т</t>
  </si>
  <si>
    <t>030407</t>
  </si>
  <si>
    <t>ТСЭМ Смоленской обл.,030407 Пр. Минстроя России от 13.03.2015 № 171/пр</t>
  </si>
  <si>
    <t>Лебедки электрические тяговым усилием 122,62 кН (12,5 т)</t>
  </si>
  <si>
    <t>031001</t>
  </si>
  <si>
    <t>ТСЭМ Смоленской обл.,031001 Пр. Минстроя России от 13.03.2015 № 171/пр</t>
  </si>
  <si>
    <t>Автогидроподъемники высотой подъема 12 м</t>
  </si>
  <si>
    <t>111-3165</t>
  </si>
  <si>
    <t>ТССЦ Смоленской обл.,111-3165 Пр. Минстроя России от 13.03.2015 № 171/пр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</si>
  <si>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</si>
  <si>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111-3170</t>
  </si>
  <si>
    <t>ТССЦ Смоленской обл.,111-3170 Пр. Минстроя России от 13.03.2015 № 171/пр</t>
  </si>
  <si>
    <t>Скрепа размером 20 мм NC20 (СИП)</t>
  </si>
  <si>
    <t>1-1029-67</t>
  </si>
  <si>
    <t>Затраты труда рабочих (средний разряд работы 2,9)</t>
  </si>
  <si>
    <t>040202</t>
  </si>
  <si>
    <t>ТСЭМ Смоленской обл.,040202 Пр. Минстроя России от 13.03.2015 № 171/пр</t>
  </si>
  <si>
    <t>Агрегаты сварочные передвижные с номинальным сварочным током 250-400 А с дизельным двигателем</t>
  </si>
  <si>
    <t>101-1513</t>
  </si>
  <si>
    <t>ТССЦ Смоленской обл.,101-1513 Пр. Минстроя России от 13.03.2015 № 171/пр</t>
  </si>
  <si>
    <t>Электроды диаметром 4 мм Э42</t>
  </si>
  <si>
    <t>1-1041-67</t>
  </si>
  <si>
    <t>Затраты труда рабочих (средний разряд работы 4,1)</t>
  </si>
  <si>
    <t>021102</t>
  </si>
  <si>
    <t>ТСЭМ Смоленской обл.,021102 Пр. Минстроя России от 13.03.2015 № 171/пр</t>
  </si>
  <si>
    <t>Краны на автомобильном ходу при работе на монтаже технологического оборудования 10 т</t>
  </si>
  <si>
    <t>031050</t>
  </si>
  <si>
    <t>ТСЭМ Смоленской обл.,031050 Пр. Минстроя России от 13.03.2015 № 171/пр</t>
  </si>
  <si>
    <t>Вышка телескопическая 25 м</t>
  </si>
  <si>
    <t>101-1977</t>
  </si>
  <si>
    <t>ТССЦ Смоленской обл.,101-1977 Пр. Минстроя России от 13.03.2015 № 171/пр</t>
  </si>
  <si>
    <t>Болты с гайками и шайбами строительные</t>
  </si>
  <si>
    <t>101-2143</t>
  </si>
  <si>
    <t>ТССЦ Смоленской обл.,101-2143 Пр. Минстроя России от 13.03.2015 № 171/пр</t>
  </si>
  <si>
    <t>Краска</t>
  </si>
  <si>
    <t>999-9950</t>
  </si>
  <si>
    <t>ТССЦ Смоленской обл.,999-9950 Пр. Минстроя России от 13.03.2015 № 171/пр</t>
  </si>
  <si>
    <t>Вспомогательные ненормируемые материальные ресурсы (3% от оплаты труда рабочих)</t>
  </si>
  <si>
    <t>руб.</t>
  </si>
  <si>
    <t>1-1046-67</t>
  </si>
  <si>
    <t>Затраты труда рабочих (средний разряд работы 4,6)</t>
  </si>
  <si>
    <t>101-1951</t>
  </si>
  <si>
    <t>ТССЦ Смоленской обл.,101-1951 Пр. Минстроя России от 13.03.2015 № 171/пр</t>
  </si>
  <si>
    <t>Лента ПХВ-304</t>
  </si>
  <si>
    <t>101-2499</t>
  </si>
  <si>
    <t>ТССЦ Смоленской обл.,101-2499 Пр. Минстроя России от 13.03.2015 № 171/пр</t>
  </si>
  <si>
    <t>Лента изоляционная прорезиненная односторонняя ширина 20 мм, толщина 0,25-0,35 мм</t>
  </si>
  <si>
    <t>507-0701</t>
  </si>
  <si>
    <t>ТССЦ Смоленской обл.,507-0701 Пр. Минстроя России от 13.03.2015 № 171/пр</t>
  </si>
  <si>
    <t>Трубка полихлорвиниловая</t>
  </si>
  <si>
    <t>101-1292</t>
  </si>
  <si>
    <t>ТССЦ Смоленской обл.,101-1292 Пр. Минстроя России от 13.03.2015 № 171/пр</t>
  </si>
  <si>
    <t>Уайт-спирит</t>
  </si>
  <si>
    <t>101-1714</t>
  </si>
  <si>
    <t>ТССЦ Смоленской обл.,101-1714 Пр. Минстроя России от 13.03.2015 № 171/пр</t>
  </si>
  <si>
    <t>101-9341</t>
  </si>
  <si>
    <t>ТССЦ Смоленской обл.,101-9341 Пр. Минстроя России от 13.03.2015 № 171/пр</t>
  </si>
  <si>
    <t>Сталь стержневая диаметром до 10 мм</t>
  </si>
  <si>
    <t>110-9030</t>
  </si>
  <si>
    <t>ТССЦ Смоленской обл.,110-9030 Пр. Минстроя России от 13.03.2015 № 171/пр</t>
  </si>
  <si>
    <t>Изоляторы штыревые</t>
  </si>
  <si>
    <t>110-9091</t>
  </si>
  <si>
    <t>ТССЦ Смоленской обл.,110-9091 Пр. Минстроя России от 13.03.2015 № 171/пр</t>
  </si>
  <si>
    <t>Штыри</t>
  </si>
  <si>
    <t>110-9126</t>
  </si>
  <si>
    <t>ТССЦ Смоленской обл.,110-9126 Пр. Минстроя России от 13.03.2015 № 171/пр</t>
  </si>
  <si>
    <t>Металлические плакаты</t>
  </si>
  <si>
    <t>201-9266</t>
  </si>
  <si>
    <t>ТССЦ Смоленской обл.,201-9266 Пр. Минстроя России от 13.03.2015 № 171/пр</t>
  </si>
  <si>
    <t>Хомуты стальные</t>
  </si>
  <si>
    <t>201-9285</t>
  </si>
  <si>
    <t>ТССЦ Смоленской обл.,201-9285 Пр. Минстроя России от 13.03.2015 № 171/пр</t>
  </si>
  <si>
    <t>Траверсы стальные</t>
  </si>
  <si>
    <t>403-1180</t>
  </si>
  <si>
    <t>ТССЦ Смоленской обл.,403-1180 Пр. Минстроя России от 13.03.2015 № 171/пр</t>
  </si>
  <si>
    <t>Стойка железобетонная вибрированная для опор</t>
  </si>
  <si>
    <t>111-3104</t>
  </si>
  <si>
    <t>ТССЦ Смоленской обл.,111-3104 Пр. Минстроя России от 13.03.2015 № 171/пр</t>
  </si>
  <si>
    <t>Зажим ответвительный с прокалыванием изоляции (СИП) Р95</t>
  </si>
  <si>
    <t>502-9101</t>
  </si>
  <si>
    <t>ТССЦ Смоленской обл.,502-9101 Пр. Минстроя России от 13.03.2015 № 171/пр</t>
  </si>
  <si>
    <t>Провода самонесущие изолированные</t>
  </si>
  <si>
    <t>509-3151</t>
  </si>
  <si>
    <t>ТССЦ Смоленской обл.,509-3151 Пр. Минстроя России от 13.03.2015 № 171/пр</t>
  </si>
  <si>
    <t>Колпачки герметичные СE6.35 (СИП)</t>
  </si>
  <si>
    <t>201-9261</t>
  </si>
  <si>
    <t>ТССЦ Смоленской обл.,201-9261 Пр. Минстроя России от 13.03.2015 № 171/пр</t>
  </si>
  <si>
    <t>Детали крепления стальные</t>
  </si>
  <si>
    <t xml:space="preserve">Наименование объекта:  </t>
  </si>
  <si>
    <t>Сметная стоимость</t>
  </si>
  <si>
    <t>тыс.руб</t>
  </si>
  <si>
    <t>Нормативная трудоемкость</t>
  </si>
  <si>
    <t>чел.-ч</t>
  </si>
  <si>
    <t>Сметная заработная плата</t>
  </si>
  <si>
    <t>№ п/п</t>
  </si>
  <si>
    <t>Шифр и № позиции норматива</t>
  </si>
  <si>
    <t>Наименование работ и затрат, единица измерения</t>
  </si>
  <si>
    <t>Кол-во</t>
  </si>
  <si>
    <t>Стоимость ед, руб.</t>
  </si>
  <si>
    <t>Общая стоимость, руб.</t>
  </si>
  <si>
    <t>Затраты труда рабочих, чел.-ч., не занятых обсл. Машин</t>
  </si>
  <si>
    <t>Экспл. Машин</t>
  </si>
  <si>
    <t>зар.платы</t>
  </si>
  <si>
    <t>Основной зар.платы</t>
  </si>
  <si>
    <t>в т.ч. Зарплаты</t>
  </si>
  <si>
    <t>обслуж. машины</t>
  </si>
  <si>
    <t>на един.</t>
  </si>
  <si>
    <t>всего</t>
  </si>
  <si>
    <t>Составлена в ценах Уровень цен</t>
  </si>
  <si>
    <t xml:space="preserve">Эксплуатация машин </t>
  </si>
  <si>
    <t xml:space="preserve">Оплата труда машинистов </t>
  </si>
  <si>
    <t xml:space="preserve">Оплата труда рабочих </t>
  </si>
  <si>
    <t xml:space="preserve">Затраты труда рабочих </t>
  </si>
  <si>
    <t xml:space="preserve">Затраты труда машинистов </t>
  </si>
  <si>
    <t xml:space="preserve">Сметная прибыль </t>
  </si>
  <si>
    <t xml:space="preserve">% НР </t>
  </si>
  <si>
    <t xml:space="preserve">% СП </t>
  </si>
  <si>
    <t xml:space="preserve">Итого с НР и СП </t>
  </si>
  <si>
    <r>
      <t>Зажим ответвительный Р21</t>
    </r>
    <r>
      <rPr>
        <i/>
        <sz val="10"/>
        <rFont val="Arial"/>
        <family val="2"/>
        <charset val="204"/>
      </rPr>
      <t xml:space="preserve">
Базисная стоимость: 35,61 = [343,97 / 1,2 /  8,21] +  2% Трансп</t>
    </r>
  </si>
  <si>
    <r>
      <t>Зажим плашечный CD35</t>
    </r>
    <r>
      <rPr>
        <i/>
        <sz val="10"/>
        <rFont val="Arial"/>
        <family val="2"/>
        <charset val="204"/>
      </rPr>
      <t xml:space="preserve">
Базисная стоимость: 11,92 = [115,13 / 1,2 /  8,21] +  2% Трансп</t>
    </r>
  </si>
  <si>
    <r>
      <t>Зажим анкерный для проводов ввода(DN 126)</t>
    </r>
    <r>
      <rPr>
        <i/>
        <sz val="10"/>
        <rFont val="Arial"/>
        <family val="2"/>
        <charset val="204"/>
      </rPr>
      <t xml:space="preserve">
Базисная стоимость: 24,70 = [238,6 / 1,2 /  8,21] +  2% Трансп</t>
    </r>
  </si>
  <si>
    <r>
      <t>Зажим прокалывающий P 616 R</t>
    </r>
    <r>
      <rPr>
        <i/>
        <sz val="10"/>
        <rFont val="Arial"/>
        <family val="2"/>
        <charset val="204"/>
      </rPr>
      <t xml:space="preserve">
Базисная стоимость: 21,77 = [210,25 / 1,2 /  8,21] +  2% Трансп</t>
    </r>
  </si>
  <si>
    <t>Исключен
Комплект для простого анкерного крепления ЕА1500-3 в составе: кронштейн CS10.3, зажим РА1500</t>
  </si>
  <si>
    <t>Исключен
Комплект промежуточной подвески (СИП) ES 1500E</t>
  </si>
  <si>
    <r>
      <t>Заземляющий проводник ЗП-6 1м (ZP-6-1)</t>
    </r>
    <r>
      <rPr>
        <i/>
        <sz val="10"/>
        <rFont val="Arial"/>
        <family val="2"/>
        <charset val="204"/>
      </rPr>
      <t xml:space="preserve">
Базисная стоимость: 23,45 = [226,52 / 1,2 /  8,21] +  2% Трансп</t>
    </r>
  </si>
  <si>
    <r>
      <t>светильник CORVETTE MINI LED 55 W 4000K</t>
    </r>
    <r>
      <rPr>
        <i/>
        <sz val="10"/>
        <rFont val="Arial"/>
        <family val="2"/>
        <charset val="204"/>
      </rPr>
      <t xml:space="preserve">
Базисная стоимость: 941,62 = [9 095 / 1,2 /  8,21] +  2% Трансп</t>
    </r>
  </si>
  <si>
    <t>Исключен
Провода неизолированные для воздушных линий электропередачи медные марки М, сечением 4 мм2</t>
  </si>
  <si>
    <t xml:space="preserve">Составил    </t>
  </si>
  <si>
    <t>[должность,подпись(инициалы,фамилия)]</t>
  </si>
  <si>
    <t xml:space="preserve">Проверил    </t>
  </si>
  <si>
    <t>СОГЛАСОВАНО:</t>
  </si>
  <si>
    <t>УТВЕРЖДАЮ:</t>
  </si>
  <si>
    <t>Начальник Управления ЖКХ</t>
  </si>
  <si>
    <t>Администрации города Смоленска</t>
  </si>
  <si>
    <t>_______________</t>
  </si>
  <si>
    <t>________________ А.А. Глебов</t>
  </si>
  <si>
    <t>" _____ " ________________ 2020 г.</t>
  </si>
  <si>
    <t>"______ " _______________2020 г.</t>
  </si>
  <si>
    <t>Выполнение работ по благоустройству дворовых территорий в городе Смоленске в рамках реализации муниципальной программы "Формирование современной городской среды в городе Смоленске"</t>
  </si>
  <si>
    <t>(наименование стройки)</t>
  </si>
  <si>
    <t>ЛОКАЛЬНЫЙ СМЕТНЫЙ РАСЧЕТ №</t>
  </si>
  <si>
    <t>Благоустройство дворовой территории в районе домов №2 по ул. Пригородная, №28, 28а, 26 по ул. Кирова, в г. Смоленске</t>
  </si>
  <si>
    <t>Основание: чертежи №15-2020-ИОС</t>
  </si>
  <si>
    <t>рублей</t>
  </si>
  <si>
    <t>Прокладка сети уличного освещения  дворовой территории жилого дома №1/6 по ул. Юрьева в г. Смоленске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</si>
</sst>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0" fillId="0" borderId="0" xfId="0"/>
    <xf numFmtId="0" fontId="10" fillId="0" borderId="0" xfId="0" applyFont="1"/>
    <xf numFmtId="0" fontId="10" fillId="0" borderId="0" xfId="0" applyFont="1" applyAlignment="1">
      <alignment wrapText="1"/>
    </xf>
    <xf numFmtId="0" fontId="9" fillId="0" borderId="0" xfId="0" applyFont="1"/>
    <xf numFmtId="0" fontId="12" fillId="0" borderId="0" xfId="0" applyFont="1" applyAlignment="1">
      <alignment horizontal="left" wrapText="1"/>
    </xf>
    <xf numFmtId="0" fontId="18" fillId="0" borderId="0" xfId="1" applyFont="1" applyAlignment="1">
      <alignment horizontal="left" vertical="top"/>
    </xf>
    <xf numFmtId="0" fontId="17" fillId="0" borderId="0" xfId="1"/>
    <xf numFmtId="0" fontId="8" fillId="0" borderId="0" xfId="1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top" wrapText="1"/>
    </xf>
    <xf numFmtId="49" fontId="19" fillId="0" borderId="0" xfId="1" applyNumberFormat="1" applyFont="1" applyBorder="1" applyAlignment="1">
      <alignment horizontal="right" vertical="top"/>
    </xf>
    <xf numFmtId="0" fontId="19" fillId="0" borderId="0" xfId="1" applyFont="1" applyBorder="1" applyAlignment="1">
      <alignment horizontal="right" vertical="top"/>
    </xf>
    <xf numFmtId="0" fontId="15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right" vertical="top"/>
    </xf>
    <xf numFmtId="0" fontId="20" fillId="0" borderId="0" xfId="1" applyFont="1" applyBorder="1" applyAlignment="1">
      <alignment horizontal="center" vertical="top"/>
    </xf>
    <xf numFmtId="49" fontId="19" fillId="0" borderId="0" xfId="1" applyNumberFormat="1" applyFont="1"/>
    <xf numFmtId="0" fontId="19" fillId="0" borderId="0" xfId="1" applyFont="1" applyAlignment="1">
      <alignment horizontal="right" vertical="top"/>
    </xf>
    <xf numFmtId="0" fontId="21" fillId="0" borderId="0" xfId="1" applyFont="1" applyAlignment="1">
      <alignment horizontal="center" vertical="top"/>
    </xf>
    <xf numFmtId="0" fontId="10" fillId="0" borderId="5" xfId="0" applyFont="1" applyBorder="1" applyAlignment="1">
      <alignment horizontal="center" vertical="center" wrapText="1"/>
    </xf>
    <xf numFmtId="0" fontId="0" fillId="0" borderId="4" xfId="0" applyBorder="1"/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/>
    <xf numFmtId="164" fontId="10" fillId="0" borderId="4" xfId="0" applyNumberFormat="1" applyFont="1" applyBorder="1"/>
    <xf numFmtId="0" fontId="14" fillId="0" borderId="4" xfId="0" applyFont="1" applyBorder="1" applyAlignment="1">
      <alignment horizontal="right" wrapText="1"/>
    </xf>
    <xf numFmtId="0" fontId="8" fillId="0" borderId="4" xfId="0" applyFont="1" applyBorder="1"/>
    <xf numFmtId="0" fontId="8" fillId="0" borderId="4" xfId="0" applyFont="1" applyBorder="1" applyAlignment="1">
      <alignment horizontal="right" wrapText="1"/>
    </xf>
    <xf numFmtId="164" fontId="8" fillId="0" borderId="4" xfId="0" applyNumberFormat="1" applyFont="1" applyBorder="1" applyAlignment="1">
      <alignment horizontal="right" wrapText="1"/>
    </xf>
    <xf numFmtId="0" fontId="16" fillId="0" borderId="4" xfId="0" applyFont="1" applyBorder="1" applyAlignment="1">
      <alignment horizontal="right"/>
    </xf>
    <xf numFmtId="164" fontId="16" fillId="0" borderId="4" xfId="0" applyNumberFormat="1" applyFont="1" applyBorder="1" applyAlignment="1">
      <alignment horizontal="right"/>
    </xf>
    <xf numFmtId="0" fontId="18" fillId="0" borderId="4" xfId="0" applyFont="1" applyBorder="1"/>
    <xf numFmtId="0" fontId="18" fillId="0" borderId="0" xfId="0" applyFont="1"/>
    <xf numFmtId="0" fontId="8" fillId="0" borderId="4" xfId="0" applyFont="1" applyBorder="1" applyAlignment="1">
      <alignment vertical="top" wrapText="1"/>
    </xf>
    <xf numFmtId="0" fontId="10" fillId="0" borderId="0" xfId="0" applyFont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16" fillId="0" borderId="4" xfId="0" applyFont="1" applyBorder="1" applyAlignment="1">
      <alignment horizontal="left" wrapText="1"/>
    </xf>
    <xf numFmtId="164" fontId="16" fillId="0" borderId="4" xfId="0" applyNumberFormat="1" applyFont="1" applyBorder="1" applyAlignment="1">
      <alignment horizontal="right"/>
    </xf>
    <xf numFmtId="0" fontId="10" fillId="0" borderId="4" xfId="0" applyFont="1" applyBorder="1" applyAlignment="1">
      <alignment horizontal="left" wrapText="1"/>
    </xf>
    <xf numFmtId="164" fontId="10" fillId="0" borderId="4" xfId="0" applyNumberFormat="1" applyFont="1" applyBorder="1" applyAlignment="1">
      <alignment horizontal="right"/>
    </xf>
    <xf numFmtId="0" fontId="8" fillId="0" borderId="4" xfId="0" quotePrefix="1" applyFont="1" applyBorder="1" applyAlignment="1">
      <alignment vertical="top" wrapText="1"/>
    </xf>
    <xf numFmtId="0" fontId="13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1" fillId="0" borderId="0" xfId="1" applyFont="1" applyAlignment="1">
      <alignment horizontal="center" vertical="top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8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386A1-FB47-47BB-B7E2-E9B9F0AD5174}">
  <sheetPr>
    <pageSetUpPr fitToPage="1"/>
  </sheetPr>
  <dimension ref="A1:AG174"/>
  <sheetViews>
    <sheetView tabSelected="1" zoomScaleNormal="100" workbookViewId="0">
      <selection activeCell="I19" sqref="I19:I20"/>
    </sheetView>
  </sheetViews>
  <sheetFormatPr defaultRowHeight="12.75" x14ac:dyDescent="0.2"/>
  <cols>
    <col min="1" max="1" width="6.7109375" customWidth="1"/>
    <col min="2" max="2" width="15.7109375" customWidth="1"/>
    <col min="3" max="3" width="40.7109375" customWidth="1"/>
    <col min="4" max="11" width="12.7109375" customWidth="1"/>
    <col min="20" max="32" width="0" hidden="1" customWidth="1"/>
    <col min="33" max="33" width="76.7109375" hidden="1" customWidth="1"/>
    <col min="34" max="37" width="0" hidden="1" customWidth="1"/>
  </cols>
  <sheetData>
    <row r="1" spans="1:30" x14ac:dyDescent="0.2">
      <c r="A1" s="18" t="s">
        <v>458</v>
      </c>
      <c r="B1" s="19"/>
      <c r="C1" s="19"/>
      <c r="D1" s="19"/>
      <c r="E1" s="19"/>
      <c r="F1" s="19"/>
      <c r="G1" s="19"/>
      <c r="H1" s="18" t="s">
        <v>459</v>
      </c>
      <c r="I1" s="19"/>
      <c r="J1" s="20"/>
      <c r="K1" s="16"/>
      <c r="L1" s="16"/>
      <c r="M1" s="20"/>
      <c r="N1" s="20"/>
      <c r="O1" s="20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x14ac:dyDescent="0.2">
      <c r="A2" s="21"/>
      <c r="B2" s="19"/>
      <c r="C2" s="19"/>
      <c r="D2" s="19"/>
      <c r="E2" s="19"/>
      <c r="F2" s="19"/>
      <c r="G2" s="19"/>
      <c r="H2" s="22" t="s">
        <v>460</v>
      </c>
      <c r="I2" s="19"/>
      <c r="J2" s="20"/>
      <c r="K2" s="13"/>
      <c r="L2" s="13"/>
      <c r="M2" s="20"/>
      <c r="N2" s="20"/>
      <c r="O2" s="20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">
      <c r="A3" s="21"/>
      <c r="B3" s="19"/>
      <c r="C3" s="19"/>
      <c r="D3" s="19"/>
      <c r="E3" s="19"/>
      <c r="F3" s="19"/>
      <c r="G3" s="19"/>
      <c r="H3" s="22" t="s">
        <v>461</v>
      </c>
      <c r="I3" s="19"/>
      <c r="J3" s="20"/>
      <c r="K3" s="13"/>
      <c r="L3" s="13"/>
      <c r="M3" s="20"/>
      <c r="N3" s="20"/>
      <c r="O3" s="20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x14ac:dyDescent="0.2">
      <c r="A4" s="21" t="s">
        <v>462</v>
      </c>
      <c r="B4" s="19"/>
      <c r="C4" s="19"/>
      <c r="D4" s="19"/>
      <c r="E4" s="19"/>
      <c r="F4" s="19"/>
      <c r="G4" s="19"/>
      <c r="H4" s="22" t="s">
        <v>463</v>
      </c>
      <c r="I4" s="19"/>
      <c r="J4" s="20"/>
      <c r="K4" s="13"/>
      <c r="L4" s="13"/>
      <c r="M4" s="20"/>
      <c r="N4" s="20"/>
      <c r="O4" s="20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 x14ac:dyDescent="0.2">
      <c r="A5" s="23" t="s">
        <v>464</v>
      </c>
      <c r="B5" s="19"/>
      <c r="C5" s="19"/>
      <c r="D5" s="19"/>
      <c r="E5" s="19"/>
      <c r="F5" s="19"/>
      <c r="G5" s="19"/>
      <c r="H5" s="24" t="s">
        <v>465</v>
      </c>
      <c r="I5" s="19"/>
      <c r="J5" s="20"/>
      <c r="K5" s="13"/>
      <c r="L5" s="13"/>
      <c r="M5" s="20"/>
      <c r="N5" s="20"/>
      <c r="O5" s="20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ht="30" customHeight="1" x14ac:dyDescent="0.2">
      <c r="A6" s="70" t="s">
        <v>466</v>
      </c>
      <c r="B6" s="71"/>
      <c r="C6" s="71"/>
      <c r="D6" s="71"/>
      <c r="E6" s="71"/>
      <c r="F6" s="71"/>
      <c r="G6" s="71"/>
      <c r="H6" s="71"/>
      <c r="I6" s="71"/>
      <c r="J6" s="71"/>
      <c r="K6" s="19"/>
      <c r="L6" s="20"/>
      <c r="M6" s="20"/>
      <c r="N6" s="20"/>
      <c r="O6" s="20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18" customHeight="1" x14ac:dyDescent="0.2">
      <c r="A7" s="25"/>
      <c r="B7" s="26"/>
      <c r="C7" s="27"/>
      <c r="D7" s="28" t="s">
        <v>467</v>
      </c>
      <c r="E7" s="29"/>
      <c r="F7" s="30"/>
      <c r="G7" s="30"/>
      <c r="H7" s="27"/>
      <c r="I7" s="27"/>
      <c r="J7" s="27"/>
      <c r="K7" s="19"/>
      <c r="L7" s="20"/>
      <c r="M7" s="20"/>
      <c r="N7" s="20"/>
      <c r="O7" s="20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x14ac:dyDescent="0.2">
      <c r="A8" s="25"/>
      <c r="B8" s="31"/>
      <c r="C8" s="32"/>
      <c r="D8" s="32"/>
      <c r="E8" s="32"/>
      <c r="F8" s="19"/>
      <c r="G8" s="19"/>
      <c r="H8" s="19"/>
      <c r="I8" s="19"/>
      <c r="J8" s="19"/>
      <c r="K8" s="19"/>
      <c r="L8" s="20"/>
      <c r="M8" s="20"/>
      <c r="N8" s="20"/>
      <c r="O8" s="2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ht="15.75" x14ac:dyDescent="0.2">
      <c r="A9" s="25"/>
      <c r="B9" s="31"/>
      <c r="C9" s="66" t="s">
        <v>468</v>
      </c>
      <c r="D9" s="66"/>
      <c r="E9" s="66"/>
      <c r="F9" s="66"/>
      <c r="G9" s="33"/>
      <c r="H9" s="33"/>
      <c r="I9" s="19"/>
      <c r="J9" s="19"/>
      <c r="K9" s="19"/>
      <c r="L9" s="20"/>
      <c r="M9" s="20"/>
      <c r="N9" s="20"/>
      <c r="O9" s="20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ht="41.25" customHeight="1" x14ac:dyDescent="0.25">
      <c r="A10" s="67" t="s">
        <v>416</v>
      </c>
      <c r="B10" s="67"/>
      <c r="C10" s="68" t="s">
        <v>472</v>
      </c>
      <c r="D10" s="68"/>
      <c r="E10" s="68"/>
      <c r="F10" s="68"/>
      <c r="G10" s="68"/>
      <c r="H10" s="68"/>
      <c r="I10" s="68"/>
      <c r="J10" s="68"/>
      <c r="K10" s="68"/>
      <c r="L10" s="14"/>
      <c r="M10" s="14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7" t="s">
        <v>469</v>
      </c>
    </row>
    <row r="11" spans="1:30" ht="14.25" customHeight="1" x14ac:dyDescent="0.2">
      <c r="A11" s="69" t="s">
        <v>470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14"/>
      <c r="M11" s="14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ht="14.25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4"/>
      <c r="M12" s="14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ht="14.25" x14ac:dyDescent="0.2">
      <c r="A13" s="59" t="s">
        <v>436</v>
      </c>
      <c r="B13" s="59"/>
      <c r="C13" s="59"/>
      <c r="D13" s="59"/>
      <c r="E13" s="59"/>
      <c r="F13" s="61" t="s">
        <v>417</v>
      </c>
      <c r="G13" s="61"/>
      <c r="H13" s="61"/>
      <c r="I13" s="62">
        <f>H165</f>
        <v>289828.40000000002</v>
      </c>
      <c r="J13" s="49"/>
      <c r="K13" s="9" t="s">
        <v>471</v>
      </c>
      <c r="L13" s="8"/>
      <c r="M13" s="8"/>
    </row>
    <row r="14" spans="1:30" ht="14.25" x14ac:dyDescent="0.2">
      <c r="A14" s="59"/>
      <c r="B14" s="59"/>
      <c r="C14" s="59"/>
      <c r="D14" s="59"/>
      <c r="E14" s="59"/>
      <c r="F14" s="61" t="s">
        <v>419</v>
      </c>
      <c r="G14" s="61"/>
      <c r="H14" s="61"/>
      <c r="I14" s="62">
        <f>(Source!F180+Source!F181)</f>
        <v>105.4930426</v>
      </c>
      <c r="J14" s="49"/>
      <c r="K14" s="9" t="s">
        <v>420</v>
      </c>
      <c r="L14" s="8"/>
      <c r="M14" s="8"/>
    </row>
    <row r="15" spans="1:30" ht="14.25" x14ac:dyDescent="0.2">
      <c r="A15" s="60"/>
      <c r="B15" s="60"/>
      <c r="C15" s="60"/>
      <c r="D15" s="60"/>
      <c r="E15" s="60"/>
      <c r="F15" s="63" t="s">
        <v>421</v>
      </c>
      <c r="G15" s="63"/>
      <c r="H15" s="63"/>
      <c r="I15" s="64">
        <f>(Source!F173+ Source!F172)/1000*8.21</f>
        <v>7.4999171000000011</v>
      </c>
      <c r="J15" s="65"/>
      <c r="K15" s="9" t="s">
        <v>418</v>
      </c>
      <c r="L15" s="8"/>
      <c r="M15" s="8"/>
    </row>
    <row r="16" spans="1:30" ht="14.25" x14ac:dyDescent="0.2">
      <c r="A16" s="57" t="s">
        <v>422</v>
      </c>
      <c r="B16" s="57" t="s">
        <v>423</v>
      </c>
      <c r="C16" s="57" t="s">
        <v>424</v>
      </c>
      <c r="D16" s="57" t="s">
        <v>425</v>
      </c>
      <c r="E16" s="57" t="s">
        <v>426</v>
      </c>
      <c r="F16" s="57"/>
      <c r="G16" s="58" t="s">
        <v>427</v>
      </c>
      <c r="H16" s="58"/>
      <c r="I16" s="58"/>
      <c r="J16" s="57" t="s">
        <v>428</v>
      </c>
      <c r="K16" s="57"/>
      <c r="L16" s="8"/>
      <c r="M16" s="8"/>
    </row>
    <row r="17" spans="1:28" ht="20.100000000000001" customHeight="1" x14ac:dyDescent="0.2">
      <c r="A17" s="57"/>
      <c r="B17" s="57"/>
      <c r="C17" s="57"/>
      <c r="D17" s="57"/>
      <c r="E17" s="57" t="s">
        <v>210</v>
      </c>
      <c r="F17" s="57" t="s">
        <v>429</v>
      </c>
      <c r="G17" s="57" t="s">
        <v>210</v>
      </c>
      <c r="H17" s="57" t="s">
        <v>430</v>
      </c>
      <c r="I17" s="57" t="s">
        <v>429</v>
      </c>
      <c r="J17" s="57"/>
      <c r="K17" s="57"/>
      <c r="L17" s="8"/>
      <c r="M17" s="8"/>
    </row>
    <row r="18" spans="1:28" ht="14.25" x14ac:dyDescent="0.2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8"/>
      <c r="M18" s="8"/>
    </row>
    <row r="19" spans="1:28" ht="20.100000000000001" customHeight="1" x14ac:dyDescent="0.2">
      <c r="A19" s="57"/>
      <c r="B19" s="57"/>
      <c r="C19" s="57"/>
      <c r="D19" s="57"/>
      <c r="E19" s="57" t="s">
        <v>431</v>
      </c>
      <c r="F19" s="57" t="s">
        <v>432</v>
      </c>
      <c r="G19" s="57"/>
      <c r="H19" s="57"/>
      <c r="I19" s="57" t="s">
        <v>432</v>
      </c>
      <c r="J19" s="57" t="s">
        <v>433</v>
      </c>
      <c r="K19" s="57"/>
      <c r="L19" s="8"/>
      <c r="M19" s="8"/>
    </row>
    <row r="20" spans="1:28" ht="14.25" x14ac:dyDescent="0.2">
      <c r="A20" s="57"/>
      <c r="B20" s="57"/>
      <c r="C20" s="57"/>
      <c r="D20" s="57"/>
      <c r="E20" s="57"/>
      <c r="F20" s="57"/>
      <c r="G20" s="57"/>
      <c r="H20" s="57"/>
      <c r="I20" s="57"/>
      <c r="J20" s="10" t="s">
        <v>434</v>
      </c>
      <c r="K20" s="10" t="s">
        <v>435</v>
      </c>
      <c r="L20" s="8"/>
      <c r="M20" s="8"/>
    </row>
    <row r="21" spans="1:28" ht="14.25" x14ac:dyDescent="0.2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8"/>
      <c r="M21" s="8"/>
    </row>
    <row r="22" spans="1:28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</row>
    <row r="23" spans="1:28" ht="16.5" x14ac:dyDescent="0.25">
      <c r="A23" s="56" t="str">
        <f>CONCATENATE("Подраздел: ",IF(Source!G28&lt;&gt;"Новый подраздел", Source!G28, ""))</f>
        <v>Подраздел: Монтажные работы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28" ht="42.75" x14ac:dyDescent="0.2">
      <c r="A24" s="36" t="str">
        <f>Source!E32</f>
        <v>1</v>
      </c>
      <c r="B24" s="36" t="str">
        <f>Source!F32</f>
        <v>33-04-016-2</v>
      </c>
      <c r="C24" s="37" t="str">
        <f>Source!G32</f>
        <v>Развозка конструкций и материалов опор ВЛ 0,38-10 кВ по трассе: одностоечных железобетонных опор</v>
      </c>
      <c r="D24" s="38">
        <f>Source!I32</f>
        <v>5</v>
      </c>
      <c r="E24" s="39">
        <f>Source!AB32</f>
        <v>60.41</v>
      </c>
      <c r="F24" s="39">
        <f>Source!AD32</f>
        <v>57.04</v>
      </c>
      <c r="G24" s="39">
        <f>Source!O32</f>
        <v>302.05</v>
      </c>
      <c r="H24" s="39">
        <f>Source!S32</f>
        <v>16.850000000000001</v>
      </c>
      <c r="I24" s="39">
        <f>Source!Q32</f>
        <v>285.2</v>
      </c>
      <c r="J24" s="39">
        <f>Source!AH32</f>
        <v>0.50600000000000001</v>
      </c>
      <c r="K24" s="39">
        <f>Source!U32</f>
        <v>2.5300000000000002</v>
      </c>
      <c r="T24">
        <f>Source!O32+Source!X32+Source!Y32</f>
        <v>390.35</v>
      </c>
      <c r="U24">
        <f>Source!P32</f>
        <v>0</v>
      </c>
      <c r="V24">
        <f>Source!S32</f>
        <v>16.850000000000001</v>
      </c>
      <c r="W24">
        <f>Source!Q32</f>
        <v>285.2</v>
      </c>
      <c r="X24">
        <f>Source!R32</f>
        <v>39.75</v>
      </c>
      <c r="Y24">
        <f>Source!U32</f>
        <v>2.5300000000000002</v>
      </c>
      <c r="Z24">
        <f>Source!V32</f>
        <v>3</v>
      </c>
      <c r="AA24">
        <f>Source!X32</f>
        <v>59.43</v>
      </c>
      <c r="AB24">
        <f>Source!Y32</f>
        <v>28.87</v>
      </c>
    </row>
    <row r="25" spans="1:28" ht="14.25" x14ac:dyDescent="0.2">
      <c r="A25" s="35"/>
      <c r="B25" s="35"/>
      <c r="C25" s="40" t="str">
        <f>Source!H32</f>
        <v>1 ОПОРА</v>
      </c>
      <c r="D25" s="38"/>
      <c r="E25" s="39">
        <f>Source!AF32</f>
        <v>3.37</v>
      </c>
      <c r="F25" s="39">
        <f>Source!AE32</f>
        <v>7.95</v>
      </c>
      <c r="G25" s="39"/>
      <c r="H25" s="39"/>
      <c r="I25" s="39">
        <f>Source!R32</f>
        <v>39.75</v>
      </c>
      <c r="J25" s="39">
        <f>Source!AI32</f>
        <v>0.6</v>
      </c>
      <c r="K25" s="39">
        <f>Source!V32</f>
        <v>3</v>
      </c>
    </row>
    <row r="26" spans="1:28" x14ac:dyDescent="0.2">
      <c r="A26" s="35"/>
      <c r="B26" s="35"/>
      <c r="C26" s="48" t="s">
        <v>437</v>
      </c>
      <c r="D26" s="55" t="s">
        <v>11</v>
      </c>
      <c r="E26" s="55"/>
      <c r="F26" s="55"/>
      <c r="G26" s="55"/>
      <c r="H26" s="55"/>
      <c r="I26" s="55"/>
      <c r="J26" s="55"/>
      <c r="K26" s="55"/>
    </row>
    <row r="27" spans="1:28" x14ac:dyDescent="0.2">
      <c r="A27" s="35"/>
      <c r="B27" s="35"/>
      <c r="C27" s="48" t="s">
        <v>438</v>
      </c>
      <c r="D27" s="55" t="s">
        <v>11</v>
      </c>
      <c r="E27" s="55"/>
      <c r="F27" s="55"/>
      <c r="G27" s="55"/>
      <c r="H27" s="55"/>
      <c r="I27" s="55"/>
      <c r="J27" s="55"/>
      <c r="K27" s="55"/>
    </row>
    <row r="28" spans="1:28" x14ac:dyDescent="0.2">
      <c r="A28" s="35"/>
      <c r="B28" s="35"/>
      <c r="C28" s="48" t="s">
        <v>439</v>
      </c>
      <c r="D28" s="55" t="s">
        <v>12</v>
      </c>
      <c r="E28" s="55"/>
      <c r="F28" s="55"/>
      <c r="G28" s="55"/>
      <c r="H28" s="55"/>
      <c r="I28" s="55"/>
      <c r="J28" s="55"/>
      <c r="K28" s="55"/>
    </row>
    <row r="29" spans="1:28" x14ac:dyDescent="0.2">
      <c r="A29" s="35"/>
      <c r="B29" s="35"/>
      <c r="C29" s="48" t="s">
        <v>440</v>
      </c>
      <c r="D29" s="55" t="s">
        <v>12</v>
      </c>
      <c r="E29" s="55"/>
      <c r="F29" s="55"/>
      <c r="G29" s="55"/>
      <c r="H29" s="55"/>
      <c r="I29" s="55"/>
      <c r="J29" s="55"/>
      <c r="K29" s="55"/>
    </row>
    <row r="30" spans="1:28" x14ac:dyDescent="0.2">
      <c r="A30" s="35"/>
      <c r="B30" s="35"/>
      <c r="C30" s="48" t="s">
        <v>441</v>
      </c>
      <c r="D30" s="55" t="s">
        <v>11</v>
      </c>
      <c r="E30" s="55"/>
      <c r="F30" s="55"/>
      <c r="G30" s="55"/>
      <c r="H30" s="55"/>
      <c r="I30" s="55"/>
      <c r="J30" s="55"/>
      <c r="K30" s="55"/>
    </row>
    <row r="31" spans="1:28" x14ac:dyDescent="0.2">
      <c r="A31" s="35"/>
      <c r="B31" s="35"/>
      <c r="C31" s="48" t="s">
        <v>442</v>
      </c>
      <c r="D31" s="55" t="s">
        <v>25</v>
      </c>
      <c r="E31" s="55"/>
      <c r="F31" s="55"/>
      <c r="G31" s="55"/>
      <c r="H31" s="55"/>
      <c r="I31" s="55"/>
      <c r="J31" s="55"/>
      <c r="K31" s="55"/>
    </row>
    <row r="32" spans="1:28" x14ac:dyDescent="0.2">
      <c r="A32" s="35"/>
      <c r="B32" s="35"/>
      <c r="C32" s="41" t="s">
        <v>443</v>
      </c>
      <c r="D32" s="42">
        <f>Source!BZ32</f>
        <v>105</v>
      </c>
      <c r="E32" s="43">
        <f>(Source!AF32+Source!AE32)*Source!FX32/100</f>
        <v>11.886000000000001</v>
      </c>
      <c r="F32" s="42"/>
      <c r="G32" s="43">
        <f>Source!X32</f>
        <v>59.43</v>
      </c>
      <c r="H32" s="42" t="str">
        <f>CONCATENATE(Source!AT32)</f>
        <v>105</v>
      </c>
      <c r="I32" s="42"/>
      <c r="J32" s="42"/>
      <c r="K32" s="42"/>
    </row>
    <row r="33" spans="1:28" x14ac:dyDescent="0.2">
      <c r="A33" s="35"/>
      <c r="B33" s="35"/>
      <c r="C33" s="41" t="s">
        <v>444</v>
      </c>
      <c r="D33" s="42">
        <f>Source!CA32</f>
        <v>60</v>
      </c>
      <c r="E33" s="43">
        <f>(Source!AF32+Source!AE32)*Source!FY32/100</f>
        <v>5.7732000000000001</v>
      </c>
      <c r="F33" s="42" t="str">
        <f>CONCATENATE(Source!DM32,Source!FU32, "=", Source!FY32, "%")</f>
        <v>*0,85=51%</v>
      </c>
      <c r="G33" s="43">
        <f>Source!Y32</f>
        <v>28.87</v>
      </c>
      <c r="H33" s="42" t="str">
        <f>CONCATENATE(Source!AU32)</f>
        <v>51</v>
      </c>
      <c r="I33" s="42"/>
      <c r="J33" s="42"/>
      <c r="K33" s="42"/>
    </row>
    <row r="34" spans="1:28" x14ac:dyDescent="0.2">
      <c r="A34" s="35"/>
      <c r="B34" s="35"/>
      <c r="C34" s="41" t="s">
        <v>445</v>
      </c>
      <c r="D34" s="42"/>
      <c r="E34" s="43">
        <f>((Source!AF32+Source!AE32)*Source!FX32/100)+((Source!AF32+Source!AE32)*Source!FY32/100)+Source!AB32</f>
        <v>78.069199999999995</v>
      </c>
      <c r="F34" s="42"/>
      <c r="G34" s="43">
        <f>Source!O32+Source!X32+Source!Y32</f>
        <v>390.35</v>
      </c>
      <c r="H34" s="42"/>
      <c r="I34" s="42"/>
      <c r="J34" s="42"/>
      <c r="K34" s="42"/>
    </row>
    <row r="35" spans="1:28" ht="57" x14ac:dyDescent="0.2">
      <c r="A35" s="36" t="str">
        <f>Source!E33</f>
        <v>2</v>
      </c>
      <c r="B35" s="36" t="str">
        <f>Source!F33</f>
        <v>33-04-016-5</v>
      </c>
      <c r="C35" s="37" t="str">
        <f>Source!G33</f>
        <v>Развозка конструкций и материалов опор ВЛ 0,38-10 кВ по трассе: материалов оснастки одностоечных опор</v>
      </c>
      <c r="D35" s="38">
        <f>Source!I33</f>
        <v>5</v>
      </c>
      <c r="E35" s="39">
        <f>Source!AB33</f>
        <v>15.63</v>
      </c>
      <c r="F35" s="39">
        <f>Source!AD33</f>
        <v>13.72</v>
      </c>
      <c r="G35" s="39">
        <f>Source!O33</f>
        <v>78.150000000000006</v>
      </c>
      <c r="H35" s="39">
        <f>Source!S33</f>
        <v>9.5500000000000007</v>
      </c>
      <c r="I35" s="39">
        <f>Source!Q33</f>
        <v>68.599999999999994</v>
      </c>
      <c r="J35" s="39">
        <f>Source!AH33</f>
        <v>0.28749999999999998</v>
      </c>
      <c r="K35" s="39">
        <f>Source!U33</f>
        <v>1.4375</v>
      </c>
      <c r="T35">
        <f>Source!O33+Source!X33+Source!Y33</f>
        <v>111.22000000000001</v>
      </c>
      <c r="U35">
        <f>Source!P33</f>
        <v>0</v>
      </c>
      <c r="V35">
        <f>Source!S33</f>
        <v>9.5500000000000007</v>
      </c>
      <c r="W35">
        <f>Source!Q33</f>
        <v>68.599999999999994</v>
      </c>
      <c r="X35">
        <f>Source!R33</f>
        <v>11.65</v>
      </c>
      <c r="Y35">
        <f>Source!U33</f>
        <v>1.4375</v>
      </c>
      <c r="Z35">
        <f>Source!V33</f>
        <v>0.87500000000000011</v>
      </c>
      <c r="AA35">
        <f>Source!X33</f>
        <v>22.26</v>
      </c>
      <c r="AB35">
        <f>Source!Y33</f>
        <v>10.81</v>
      </c>
    </row>
    <row r="36" spans="1:28" ht="14.25" x14ac:dyDescent="0.2">
      <c r="A36" s="35"/>
      <c r="B36" s="35"/>
      <c r="C36" s="40" t="str">
        <f>Source!H33</f>
        <v>1 ОПОРА</v>
      </c>
      <c r="D36" s="38"/>
      <c r="E36" s="39">
        <f>Source!AF33</f>
        <v>1.91</v>
      </c>
      <c r="F36" s="39">
        <f>Source!AE33</f>
        <v>2.33</v>
      </c>
      <c r="G36" s="39"/>
      <c r="H36" s="39"/>
      <c r="I36" s="39">
        <f>Source!R33</f>
        <v>11.65</v>
      </c>
      <c r="J36" s="39">
        <f>Source!AI33</f>
        <v>0.17500000000000002</v>
      </c>
      <c r="K36" s="39">
        <f>Source!V33</f>
        <v>0.87500000000000011</v>
      </c>
    </row>
    <row r="37" spans="1:28" x14ac:dyDescent="0.2">
      <c r="A37" s="35"/>
      <c r="B37" s="35"/>
      <c r="C37" s="48" t="s">
        <v>437</v>
      </c>
      <c r="D37" s="55" t="s">
        <v>11</v>
      </c>
      <c r="E37" s="55"/>
      <c r="F37" s="55"/>
      <c r="G37" s="55"/>
      <c r="H37" s="55"/>
      <c r="I37" s="55"/>
      <c r="J37" s="55"/>
      <c r="K37" s="55"/>
    </row>
    <row r="38" spans="1:28" x14ac:dyDescent="0.2">
      <c r="A38" s="35"/>
      <c r="B38" s="35"/>
      <c r="C38" s="48" t="s">
        <v>438</v>
      </c>
      <c r="D38" s="55" t="s">
        <v>11</v>
      </c>
      <c r="E38" s="55"/>
      <c r="F38" s="55"/>
      <c r="G38" s="55"/>
      <c r="H38" s="55"/>
      <c r="I38" s="55"/>
      <c r="J38" s="55"/>
      <c r="K38" s="55"/>
    </row>
    <row r="39" spans="1:28" x14ac:dyDescent="0.2">
      <c r="A39" s="35"/>
      <c r="B39" s="35"/>
      <c r="C39" s="48" t="s">
        <v>439</v>
      </c>
      <c r="D39" s="55" t="s">
        <v>12</v>
      </c>
      <c r="E39" s="55"/>
      <c r="F39" s="55"/>
      <c r="G39" s="55"/>
      <c r="H39" s="55"/>
      <c r="I39" s="55"/>
      <c r="J39" s="55"/>
      <c r="K39" s="55"/>
    </row>
    <row r="40" spans="1:28" x14ac:dyDescent="0.2">
      <c r="A40" s="35"/>
      <c r="B40" s="35"/>
      <c r="C40" s="48" t="s">
        <v>440</v>
      </c>
      <c r="D40" s="55" t="s">
        <v>12</v>
      </c>
      <c r="E40" s="55"/>
      <c r="F40" s="55"/>
      <c r="G40" s="55"/>
      <c r="H40" s="55"/>
      <c r="I40" s="55"/>
      <c r="J40" s="55"/>
      <c r="K40" s="55"/>
    </row>
    <row r="41" spans="1:28" x14ac:dyDescent="0.2">
      <c r="A41" s="35"/>
      <c r="B41" s="35"/>
      <c r="C41" s="48" t="s">
        <v>441</v>
      </c>
      <c r="D41" s="55" t="s">
        <v>11</v>
      </c>
      <c r="E41" s="55"/>
      <c r="F41" s="55"/>
      <c r="G41" s="55"/>
      <c r="H41" s="55"/>
      <c r="I41" s="55"/>
      <c r="J41" s="55"/>
      <c r="K41" s="55"/>
    </row>
    <row r="42" spans="1:28" x14ac:dyDescent="0.2">
      <c r="A42" s="35"/>
      <c r="B42" s="35"/>
      <c r="C42" s="48" t="s">
        <v>442</v>
      </c>
      <c r="D42" s="55" t="s">
        <v>25</v>
      </c>
      <c r="E42" s="55"/>
      <c r="F42" s="55"/>
      <c r="G42" s="55"/>
      <c r="H42" s="55"/>
      <c r="I42" s="55"/>
      <c r="J42" s="55"/>
      <c r="K42" s="55"/>
    </row>
    <row r="43" spans="1:28" x14ac:dyDescent="0.2">
      <c r="A43" s="35"/>
      <c r="B43" s="35"/>
      <c r="C43" s="41" t="s">
        <v>443</v>
      </c>
      <c r="D43" s="42">
        <f>Source!BZ33</f>
        <v>105</v>
      </c>
      <c r="E43" s="43">
        <f>(Source!AF33+Source!AE33)*Source!FX33/100</f>
        <v>4.4520000000000008</v>
      </c>
      <c r="F43" s="42"/>
      <c r="G43" s="43">
        <f>Source!X33</f>
        <v>22.26</v>
      </c>
      <c r="H43" s="42" t="str">
        <f>CONCATENATE(Source!AT33)</f>
        <v>105</v>
      </c>
      <c r="I43" s="42"/>
      <c r="J43" s="42"/>
      <c r="K43" s="42"/>
    </row>
    <row r="44" spans="1:28" x14ac:dyDescent="0.2">
      <c r="A44" s="35"/>
      <c r="B44" s="35"/>
      <c r="C44" s="41" t="s">
        <v>444</v>
      </c>
      <c r="D44" s="42">
        <f>Source!CA33</f>
        <v>60</v>
      </c>
      <c r="E44" s="43">
        <f>(Source!AF33+Source!AE33)*Source!FY33/100</f>
        <v>2.1623999999999999</v>
      </c>
      <c r="F44" s="42" t="str">
        <f>CONCATENATE(Source!DM33,Source!FU33, "=", Source!FY33, "%")</f>
        <v>*0,85=51%</v>
      </c>
      <c r="G44" s="43">
        <f>Source!Y33</f>
        <v>10.81</v>
      </c>
      <c r="H44" s="42" t="str">
        <f>CONCATENATE(Source!AU33)</f>
        <v>51</v>
      </c>
      <c r="I44" s="42"/>
      <c r="J44" s="42"/>
      <c r="K44" s="42"/>
    </row>
    <row r="45" spans="1:28" x14ac:dyDescent="0.2">
      <c r="A45" s="35"/>
      <c r="B45" s="35"/>
      <c r="C45" s="41" t="s">
        <v>445</v>
      </c>
      <c r="D45" s="42"/>
      <c r="E45" s="43">
        <f>((Source!AF33+Source!AE33)*Source!FX33/100)+((Source!AF33+Source!AE33)*Source!FY33/100)+Source!AB33</f>
        <v>22.244400000000002</v>
      </c>
      <c r="F45" s="42"/>
      <c r="G45" s="43">
        <f>Source!O33+Source!X33+Source!Y33</f>
        <v>111.22000000000001</v>
      </c>
      <c r="H45" s="42"/>
      <c r="I45" s="42"/>
      <c r="J45" s="42"/>
      <c r="K45" s="42"/>
    </row>
    <row r="46" spans="1:28" ht="42.75" x14ac:dyDescent="0.2">
      <c r="A46" s="36" t="str">
        <f>Source!E34</f>
        <v>3</v>
      </c>
      <c r="B46" s="36" t="str">
        <f>Source!F34</f>
        <v>33-04-003-1</v>
      </c>
      <c r="C46" s="37" t="str">
        <f>Source!G34</f>
        <v>Установка железобетонных опор ВЛ 0,38; 6-10 кВ с траверсами без приставок: одностоечных</v>
      </c>
      <c r="D46" s="38">
        <f>Source!I34</f>
        <v>5</v>
      </c>
      <c r="E46" s="39">
        <f>Source!AB34</f>
        <v>230.02</v>
      </c>
      <c r="F46" s="39">
        <f>Source!AD34</f>
        <v>155.41</v>
      </c>
      <c r="G46" s="39">
        <f>Source!O34</f>
        <v>1150.0999999999999</v>
      </c>
      <c r="H46" s="39">
        <f>Source!S34</f>
        <v>157.55000000000001</v>
      </c>
      <c r="I46" s="39">
        <f>Source!Q34</f>
        <v>777.05</v>
      </c>
      <c r="J46" s="39">
        <f>Source!AH34</f>
        <v>4.3699999999999992</v>
      </c>
      <c r="K46" s="39">
        <f>Source!U34</f>
        <v>21.849999999999994</v>
      </c>
      <c r="T46">
        <f>Source!O34+Source!X34+Source!Y34</f>
        <v>1482.46</v>
      </c>
      <c r="U46">
        <f>Source!P34</f>
        <v>215.5</v>
      </c>
      <c r="V46">
        <f>Source!S34</f>
        <v>157.55000000000001</v>
      </c>
      <c r="W46">
        <f>Source!Q34</f>
        <v>777.05</v>
      </c>
      <c r="X46">
        <f>Source!R34</f>
        <v>55.5</v>
      </c>
      <c r="Y46">
        <f>Source!U34</f>
        <v>21.849999999999994</v>
      </c>
      <c r="Z46">
        <f>Source!V34</f>
        <v>4.875</v>
      </c>
      <c r="AA46">
        <f>Source!X34</f>
        <v>223.7</v>
      </c>
      <c r="AB46">
        <f>Source!Y34</f>
        <v>108.66</v>
      </c>
    </row>
    <row r="47" spans="1:28" ht="14.25" x14ac:dyDescent="0.2">
      <c r="A47" s="35"/>
      <c r="B47" s="35"/>
      <c r="C47" s="40" t="str">
        <f>Source!H34</f>
        <v>1 ОПОРА</v>
      </c>
      <c r="D47" s="38"/>
      <c r="E47" s="39">
        <f>Source!AF34</f>
        <v>31.51</v>
      </c>
      <c r="F47" s="39">
        <f>Source!AE34</f>
        <v>11.1</v>
      </c>
      <c r="G47" s="39"/>
      <c r="H47" s="39"/>
      <c r="I47" s="39">
        <f>Source!R34</f>
        <v>55.5</v>
      </c>
      <c r="J47" s="39">
        <f>Source!AI34</f>
        <v>0.97500000000000009</v>
      </c>
      <c r="K47" s="39">
        <f>Source!V34</f>
        <v>4.875</v>
      </c>
    </row>
    <row r="48" spans="1:28" x14ac:dyDescent="0.2">
      <c r="A48" s="35"/>
      <c r="B48" s="35"/>
      <c r="C48" s="48" t="s">
        <v>437</v>
      </c>
      <c r="D48" s="55" t="s">
        <v>11</v>
      </c>
      <c r="E48" s="55"/>
      <c r="F48" s="55"/>
      <c r="G48" s="55"/>
      <c r="H48" s="55"/>
      <c r="I48" s="55"/>
      <c r="J48" s="55"/>
      <c r="K48" s="55"/>
    </row>
    <row r="49" spans="1:28" x14ac:dyDescent="0.2">
      <c r="A49" s="35"/>
      <c r="B49" s="35"/>
      <c r="C49" s="48" t="s">
        <v>438</v>
      </c>
      <c r="D49" s="55" t="s">
        <v>11</v>
      </c>
      <c r="E49" s="55"/>
      <c r="F49" s="55"/>
      <c r="G49" s="55"/>
      <c r="H49" s="55"/>
      <c r="I49" s="55"/>
      <c r="J49" s="55"/>
      <c r="K49" s="55"/>
    </row>
    <row r="50" spans="1:28" x14ac:dyDescent="0.2">
      <c r="A50" s="35"/>
      <c r="B50" s="35"/>
      <c r="C50" s="48" t="s">
        <v>439</v>
      </c>
      <c r="D50" s="55" t="s">
        <v>12</v>
      </c>
      <c r="E50" s="55"/>
      <c r="F50" s="55"/>
      <c r="G50" s="55"/>
      <c r="H50" s="55"/>
      <c r="I50" s="55"/>
      <c r="J50" s="55"/>
      <c r="K50" s="55"/>
    </row>
    <row r="51" spans="1:28" x14ac:dyDescent="0.2">
      <c r="A51" s="35"/>
      <c r="B51" s="35"/>
      <c r="C51" s="48" t="s">
        <v>440</v>
      </c>
      <c r="D51" s="55" t="s">
        <v>12</v>
      </c>
      <c r="E51" s="55"/>
      <c r="F51" s="55"/>
      <c r="G51" s="55"/>
      <c r="H51" s="55"/>
      <c r="I51" s="55"/>
      <c r="J51" s="55"/>
      <c r="K51" s="55"/>
    </row>
    <row r="52" spans="1:28" x14ac:dyDescent="0.2">
      <c r="A52" s="35"/>
      <c r="B52" s="35"/>
      <c r="C52" s="48" t="s">
        <v>441</v>
      </c>
      <c r="D52" s="55" t="s">
        <v>11</v>
      </c>
      <c r="E52" s="55"/>
      <c r="F52" s="55"/>
      <c r="G52" s="55"/>
      <c r="H52" s="55"/>
      <c r="I52" s="55"/>
      <c r="J52" s="55"/>
      <c r="K52" s="55"/>
    </row>
    <row r="53" spans="1:28" x14ac:dyDescent="0.2">
      <c r="A53" s="35"/>
      <c r="B53" s="35"/>
      <c r="C53" s="48" t="s">
        <v>442</v>
      </c>
      <c r="D53" s="55" t="s">
        <v>25</v>
      </c>
      <c r="E53" s="55"/>
      <c r="F53" s="55"/>
      <c r="G53" s="55"/>
      <c r="H53" s="55"/>
      <c r="I53" s="55"/>
      <c r="J53" s="55"/>
      <c r="K53" s="55"/>
    </row>
    <row r="54" spans="1:28" x14ac:dyDescent="0.2">
      <c r="A54" s="35"/>
      <c r="B54" s="35"/>
      <c r="C54" s="41" t="s">
        <v>443</v>
      </c>
      <c r="D54" s="42">
        <f>Source!BZ34</f>
        <v>105</v>
      </c>
      <c r="E54" s="43">
        <f>(Source!AF34+Source!AE34)*Source!FX34/100</f>
        <v>44.740500000000004</v>
      </c>
      <c r="F54" s="42"/>
      <c r="G54" s="43">
        <f>Source!X34</f>
        <v>223.7</v>
      </c>
      <c r="H54" s="42" t="str">
        <f>CONCATENATE(Source!AT34)</f>
        <v>105</v>
      </c>
      <c r="I54" s="42"/>
      <c r="J54" s="42"/>
      <c r="K54" s="42"/>
    </row>
    <row r="55" spans="1:28" x14ac:dyDescent="0.2">
      <c r="A55" s="35"/>
      <c r="B55" s="35"/>
      <c r="C55" s="41" t="s">
        <v>444</v>
      </c>
      <c r="D55" s="42">
        <f>Source!CA34</f>
        <v>60</v>
      </c>
      <c r="E55" s="43">
        <f>(Source!AF34+Source!AE34)*Source!FY34/100</f>
        <v>21.731100000000001</v>
      </c>
      <c r="F55" s="42" t="str">
        <f>CONCATENATE(Source!DM34,Source!FU34, "=", Source!FY34, "%")</f>
        <v>*0,85=51%</v>
      </c>
      <c r="G55" s="43">
        <f>Source!Y34</f>
        <v>108.66</v>
      </c>
      <c r="H55" s="42" t="str">
        <f>CONCATENATE(Source!AU34)</f>
        <v>51</v>
      </c>
      <c r="I55" s="42"/>
      <c r="J55" s="42"/>
      <c r="K55" s="42"/>
    </row>
    <row r="56" spans="1:28" x14ac:dyDescent="0.2">
      <c r="A56" s="35"/>
      <c r="B56" s="35"/>
      <c r="C56" s="41" t="s">
        <v>445</v>
      </c>
      <c r="D56" s="42"/>
      <c r="E56" s="43">
        <f>((Source!AF34+Source!AE34)*Source!FX34/100)+((Source!AF34+Source!AE34)*Source!FY34/100)+Source!AB34</f>
        <v>296.49160000000001</v>
      </c>
      <c r="F56" s="42"/>
      <c r="G56" s="43">
        <f>Source!O34+Source!X34+Source!Y34</f>
        <v>1482.46</v>
      </c>
      <c r="H56" s="42"/>
      <c r="I56" s="42"/>
      <c r="J56" s="42"/>
      <c r="K56" s="42"/>
    </row>
    <row r="57" spans="1:28" ht="57" x14ac:dyDescent="0.2">
      <c r="A57" s="36" t="str">
        <f>Source!E35</f>
        <v>3,1</v>
      </c>
      <c r="B57" s="36" t="str">
        <f>Source!F35</f>
        <v>403-1947</v>
      </c>
      <c r="C57" s="37" t="str">
        <f>Source!G35</f>
        <v>Стойка опоры СВ 110-5 /бетон В30 (М400), объем 0,45 м3, расход арматуры 77,08 кг/ (серия 3.407.1-143 вып. 7)</v>
      </c>
      <c r="D57" s="38">
        <f>Source!I35</f>
        <v>5</v>
      </c>
      <c r="E57" s="39">
        <f>Source!AB35</f>
        <v>1487.26</v>
      </c>
      <c r="F57" s="39">
        <f>Source!AD35</f>
        <v>0</v>
      </c>
      <c r="G57" s="39">
        <f>Source!O35</f>
        <v>7436.3</v>
      </c>
      <c r="H57" s="39">
        <f>Source!S35</f>
        <v>0</v>
      </c>
      <c r="I57" s="39">
        <f>Source!Q35</f>
        <v>0</v>
      </c>
      <c r="J57" s="39">
        <f>Source!AH35</f>
        <v>0</v>
      </c>
      <c r="K57" s="39">
        <f>Source!U35</f>
        <v>0</v>
      </c>
      <c r="T57">
        <f>Source!O35+Source!X35+Source!Y35</f>
        <v>7436.3</v>
      </c>
      <c r="U57">
        <f>Source!P35</f>
        <v>7436.3</v>
      </c>
      <c r="V57">
        <f>Source!S35</f>
        <v>0</v>
      </c>
      <c r="W57">
        <f>Source!Q35</f>
        <v>0</v>
      </c>
      <c r="X57">
        <f>Source!R35</f>
        <v>0</v>
      </c>
      <c r="Y57">
        <f>Source!U35</f>
        <v>0</v>
      </c>
      <c r="Z57">
        <f>Source!V35</f>
        <v>0</v>
      </c>
      <c r="AA57">
        <f>Source!X35</f>
        <v>0</v>
      </c>
      <c r="AB57">
        <f>Source!Y35</f>
        <v>0</v>
      </c>
    </row>
    <row r="58" spans="1:28" ht="14.25" x14ac:dyDescent="0.2">
      <c r="A58" s="35"/>
      <c r="B58" s="35"/>
      <c r="C58" s="40" t="str">
        <f>Source!H35</f>
        <v>шт.</v>
      </c>
      <c r="D58" s="38"/>
      <c r="E58" s="39">
        <f>Source!AF35</f>
        <v>0</v>
      </c>
      <c r="F58" s="39">
        <f>Source!AE35</f>
        <v>0</v>
      </c>
      <c r="G58" s="39"/>
      <c r="H58" s="39"/>
      <c r="I58" s="39">
        <f>Source!R35</f>
        <v>0</v>
      </c>
      <c r="J58" s="39">
        <f>Source!AI35</f>
        <v>0</v>
      </c>
      <c r="K58" s="39">
        <f>Source!V35</f>
        <v>0</v>
      </c>
    </row>
    <row r="59" spans="1:28" ht="71.25" x14ac:dyDescent="0.2">
      <c r="A59" s="36" t="str">
        <f>Source!E36</f>
        <v>4</v>
      </c>
      <c r="B59" s="36" t="str">
        <f>Source!F36</f>
        <v>33-04-017-1</v>
      </c>
      <c r="C59" s="37" t="str">
        <f>Source!G36</f>
        <v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v>
      </c>
      <c r="D59" s="38">
        <f>Source!I36</f>
        <v>0.11899999999999999</v>
      </c>
      <c r="E59" s="39">
        <f>Source!AB36</f>
        <v>11454.25</v>
      </c>
      <c r="F59" s="39">
        <f>Source!AD36</f>
        <v>3914.23</v>
      </c>
      <c r="G59" s="39">
        <f>Source!O36</f>
        <v>1363.05</v>
      </c>
      <c r="H59" s="39">
        <f>Source!S36</f>
        <v>69.099999999999994</v>
      </c>
      <c r="I59" s="39">
        <f>Source!Q36</f>
        <v>465.79</v>
      </c>
      <c r="J59" s="39">
        <f>Source!AH36</f>
        <v>75.025999999999982</v>
      </c>
      <c r="K59" s="39">
        <f>Source!U36</f>
        <v>8.928093999999998</v>
      </c>
      <c r="T59">
        <f>Source!O36+Source!X36+Source!Y36</f>
        <v>1560.92</v>
      </c>
      <c r="U59">
        <f>Source!P36</f>
        <v>828.16</v>
      </c>
      <c r="V59">
        <f>Source!S36</f>
        <v>69.099999999999994</v>
      </c>
      <c r="W59">
        <f>Source!Q36</f>
        <v>465.79</v>
      </c>
      <c r="X59">
        <f>Source!R36</f>
        <v>57.74</v>
      </c>
      <c r="Y59">
        <f>Source!U36</f>
        <v>8.928093999999998</v>
      </c>
      <c r="Z59">
        <f>Source!V36</f>
        <v>5.5305249999999999</v>
      </c>
      <c r="AA59">
        <f>Source!X36</f>
        <v>133.18</v>
      </c>
      <c r="AB59">
        <f>Source!Y36</f>
        <v>64.69</v>
      </c>
    </row>
    <row r="60" spans="1:28" ht="14.25" x14ac:dyDescent="0.2">
      <c r="A60" s="35"/>
      <c r="B60" s="35"/>
      <c r="C60" s="40" t="str">
        <f>Source!H36</f>
        <v>1000 м</v>
      </c>
      <c r="D60" s="38"/>
      <c r="E60" s="39">
        <f>Source!AF36</f>
        <v>580.70000000000005</v>
      </c>
      <c r="F60" s="39">
        <f>Source!AE36</f>
        <v>485.2</v>
      </c>
      <c r="G60" s="39"/>
      <c r="H60" s="39"/>
      <c r="I60" s="39">
        <f>Source!R36</f>
        <v>57.74</v>
      </c>
      <c r="J60" s="39">
        <f>Source!AI36</f>
        <v>46.475000000000001</v>
      </c>
      <c r="K60" s="39">
        <f>Source!V36</f>
        <v>5.5305249999999999</v>
      </c>
    </row>
    <row r="61" spans="1:28" x14ac:dyDescent="0.2">
      <c r="A61" s="35"/>
      <c r="B61" s="35"/>
      <c r="C61" s="48" t="str">
        <f>"Объем: "&amp;Source!I36&amp;"=119/"&amp;"1000"</f>
        <v>Объем: 0,119=119/1000</v>
      </c>
      <c r="D61" s="35"/>
      <c r="E61" s="35"/>
      <c r="F61" s="35"/>
      <c r="G61" s="35"/>
      <c r="H61" s="35"/>
      <c r="I61" s="35"/>
      <c r="J61" s="35"/>
      <c r="K61" s="35"/>
    </row>
    <row r="62" spans="1:28" x14ac:dyDescent="0.2">
      <c r="A62" s="35"/>
      <c r="B62" s="35"/>
      <c r="C62" s="48" t="s">
        <v>437</v>
      </c>
      <c r="D62" s="55" t="s">
        <v>11</v>
      </c>
      <c r="E62" s="55"/>
      <c r="F62" s="55"/>
      <c r="G62" s="55"/>
      <c r="H62" s="55"/>
      <c r="I62" s="55"/>
      <c r="J62" s="55"/>
      <c r="K62" s="55"/>
    </row>
    <row r="63" spans="1:28" x14ac:dyDescent="0.2">
      <c r="A63" s="35"/>
      <c r="B63" s="35"/>
      <c r="C63" s="48" t="s">
        <v>438</v>
      </c>
      <c r="D63" s="55" t="s">
        <v>11</v>
      </c>
      <c r="E63" s="55"/>
      <c r="F63" s="55"/>
      <c r="G63" s="55"/>
      <c r="H63" s="55"/>
      <c r="I63" s="55"/>
      <c r="J63" s="55"/>
      <c r="K63" s="55"/>
    </row>
    <row r="64" spans="1:28" x14ac:dyDescent="0.2">
      <c r="A64" s="35"/>
      <c r="B64" s="35"/>
      <c r="C64" s="48" t="s">
        <v>439</v>
      </c>
      <c r="D64" s="55" t="s">
        <v>12</v>
      </c>
      <c r="E64" s="55"/>
      <c r="F64" s="55"/>
      <c r="G64" s="55"/>
      <c r="H64" s="55"/>
      <c r="I64" s="55"/>
      <c r="J64" s="55"/>
      <c r="K64" s="55"/>
    </row>
    <row r="65" spans="1:28" x14ac:dyDescent="0.2">
      <c r="A65" s="35"/>
      <c r="B65" s="35"/>
      <c r="C65" s="48" t="s">
        <v>440</v>
      </c>
      <c r="D65" s="55" t="s">
        <v>12</v>
      </c>
      <c r="E65" s="55"/>
      <c r="F65" s="55"/>
      <c r="G65" s="55"/>
      <c r="H65" s="55"/>
      <c r="I65" s="55"/>
      <c r="J65" s="55"/>
      <c r="K65" s="55"/>
    </row>
    <row r="66" spans="1:28" x14ac:dyDescent="0.2">
      <c r="A66" s="35"/>
      <c r="B66" s="35"/>
      <c r="C66" s="48" t="s">
        <v>441</v>
      </c>
      <c r="D66" s="55" t="s">
        <v>11</v>
      </c>
      <c r="E66" s="55"/>
      <c r="F66" s="55"/>
      <c r="G66" s="55"/>
      <c r="H66" s="55"/>
      <c r="I66" s="55"/>
      <c r="J66" s="55"/>
      <c r="K66" s="55"/>
    </row>
    <row r="67" spans="1:28" x14ac:dyDescent="0.2">
      <c r="A67" s="35"/>
      <c r="B67" s="35"/>
      <c r="C67" s="48" t="s">
        <v>442</v>
      </c>
      <c r="D67" s="55" t="s">
        <v>25</v>
      </c>
      <c r="E67" s="55"/>
      <c r="F67" s="55"/>
      <c r="G67" s="55"/>
      <c r="H67" s="55"/>
      <c r="I67" s="55"/>
      <c r="J67" s="55"/>
      <c r="K67" s="55"/>
    </row>
    <row r="68" spans="1:28" x14ac:dyDescent="0.2">
      <c r="A68" s="35"/>
      <c r="B68" s="35"/>
      <c r="C68" s="41" t="s">
        <v>443</v>
      </c>
      <c r="D68" s="42">
        <f>Source!BZ36</f>
        <v>105</v>
      </c>
      <c r="E68" s="43">
        <f>(Source!AF36+Source!AE36)*Source!FX36/100</f>
        <v>1119.1950000000002</v>
      </c>
      <c r="F68" s="42"/>
      <c r="G68" s="43">
        <f>Source!X36</f>
        <v>133.18</v>
      </c>
      <c r="H68" s="42" t="str">
        <f>CONCATENATE(Source!AT36)</f>
        <v>105</v>
      </c>
      <c r="I68" s="42"/>
      <c r="J68" s="42"/>
      <c r="K68" s="42"/>
    </row>
    <row r="69" spans="1:28" x14ac:dyDescent="0.2">
      <c r="A69" s="35"/>
      <c r="B69" s="35"/>
      <c r="C69" s="41" t="s">
        <v>444</v>
      </c>
      <c r="D69" s="42">
        <f>Source!CA36</f>
        <v>60</v>
      </c>
      <c r="E69" s="43">
        <f>(Source!AF36+Source!AE36)*Source!FY36/100</f>
        <v>543.60900000000004</v>
      </c>
      <c r="F69" s="42" t="str">
        <f>CONCATENATE(Source!DM36,Source!FU36, "=", Source!FY36, "%")</f>
        <v>*0,85=51%</v>
      </c>
      <c r="G69" s="43">
        <f>Source!Y36</f>
        <v>64.69</v>
      </c>
      <c r="H69" s="42" t="str">
        <f>CONCATENATE(Source!AU36)</f>
        <v>51</v>
      </c>
      <c r="I69" s="42"/>
      <c r="J69" s="42"/>
      <c r="K69" s="42"/>
    </row>
    <row r="70" spans="1:28" x14ac:dyDescent="0.2">
      <c r="A70" s="35"/>
      <c r="B70" s="35"/>
      <c r="C70" s="41" t="s">
        <v>445</v>
      </c>
      <c r="D70" s="42"/>
      <c r="E70" s="43">
        <f>((Source!AF36+Source!AE36)*Source!FX36/100)+((Source!AF36+Source!AE36)*Source!FY36/100)+Source!AB36</f>
        <v>13117.054</v>
      </c>
      <c r="F70" s="42"/>
      <c r="G70" s="43">
        <f>Source!O36+Source!X36+Source!Y36</f>
        <v>1560.92</v>
      </c>
      <c r="H70" s="42"/>
      <c r="I70" s="42"/>
      <c r="J70" s="42"/>
      <c r="K70" s="42"/>
    </row>
    <row r="71" spans="1:28" ht="39.75" x14ac:dyDescent="0.2">
      <c r="A71" s="36" t="str">
        <f>Source!E37</f>
        <v>4,1</v>
      </c>
      <c r="B71" s="36" t="str">
        <f>Source!F37</f>
        <v>Прайс-лист стр.2.</v>
      </c>
      <c r="C71" s="37" t="s">
        <v>446</v>
      </c>
      <c r="D71" s="38">
        <f>Source!I37</f>
        <v>5</v>
      </c>
      <c r="E71" s="39">
        <f>Source!AB37</f>
        <v>35.61</v>
      </c>
      <c r="F71" s="39">
        <f>Source!AD37</f>
        <v>0</v>
      </c>
      <c r="G71" s="39">
        <f>Source!O37</f>
        <v>178.05</v>
      </c>
      <c r="H71" s="39">
        <f>Source!S37</f>
        <v>0</v>
      </c>
      <c r="I71" s="39">
        <f>Source!Q37</f>
        <v>0</v>
      </c>
      <c r="J71" s="39">
        <f>Source!AH37</f>
        <v>0</v>
      </c>
      <c r="K71" s="39">
        <f>Source!U37</f>
        <v>0</v>
      </c>
      <c r="T71">
        <f>Source!O37+Source!X37+Source!Y37</f>
        <v>178.05</v>
      </c>
      <c r="U71">
        <f>Source!P37</f>
        <v>178.05</v>
      </c>
      <c r="V71">
        <f>Source!S37</f>
        <v>0</v>
      </c>
      <c r="W71">
        <f>Source!Q37</f>
        <v>0</v>
      </c>
      <c r="X71">
        <f>Source!R37</f>
        <v>0</v>
      </c>
      <c r="Y71">
        <f>Source!U37</f>
        <v>0</v>
      </c>
      <c r="Z71">
        <f>Source!V37</f>
        <v>0</v>
      </c>
      <c r="AA71">
        <f>Source!X37</f>
        <v>0</v>
      </c>
      <c r="AB71">
        <f>Source!Y37</f>
        <v>0</v>
      </c>
    </row>
    <row r="72" spans="1:28" ht="14.25" x14ac:dyDescent="0.2">
      <c r="A72" s="35"/>
      <c r="B72" s="35"/>
      <c r="C72" s="40" t="str">
        <f>Source!H37</f>
        <v>шт.</v>
      </c>
      <c r="D72" s="38"/>
      <c r="E72" s="39">
        <f>Source!AF37</f>
        <v>0</v>
      </c>
      <c r="F72" s="39">
        <f>Source!AE37</f>
        <v>0</v>
      </c>
      <c r="G72" s="39"/>
      <c r="H72" s="39"/>
      <c r="I72" s="39">
        <f>Source!R37</f>
        <v>0</v>
      </c>
      <c r="J72" s="39">
        <f>Source!AI37</f>
        <v>0</v>
      </c>
      <c r="K72" s="39">
        <f>Source!V37</f>
        <v>0</v>
      </c>
    </row>
    <row r="73" spans="1:28" ht="39.75" x14ac:dyDescent="0.2">
      <c r="A73" s="36" t="str">
        <f>Source!E38</f>
        <v>4,2</v>
      </c>
      <c r="B73" s="36" t="str">
        <f>Source!F38</f>
        <v>Прайс-лист стр.3</v>
      </c>
      <c r="C73" s="37" t="s">
        <v>447</v>
      </c>
      <c r="D73" s="38">
        <f>Source!I38</f>
        <v>5</v>
      </c>
      <c r="E73" s="39">
        <f>Source!AB38</f>
        <v>11.92</v>
      </c>
      <c r="F73" s="39">
        <f>Source!AD38</f>
        <v>0</v>
      </c>
      <c r="G73" s="39">
        <f>Source!O38</f>
        <v>59.6</v>
      </c>
      <c r="H73" s="39">
        <f>Source!S38</f>
        <v>0</v>
      </c>
      <c r="I73" s="39">
        <f>Source!Q38</f>
        <v>0</v>
      </c>
      <c r="J73" s="39">
        <f>Source!AH38</f>
        <v>0</v>
      </c>
      <c r="K73" s="39">
        <f>Source!U38</f>
        <v>0</v>
      </c>
      <c r="T73">
        <f>Source!O38+Source!X38+Source!Y38</f>
        <v>59.6</v>
      </c>
      <c r="U73">
        <f>Source!P38</f>
        <v>59.6</v>
      </c>
      <c r="V73">
        <f>Source!S38</f>
        <v>0</v>
      </c>
      <c r="W73">
        <f>Source!Q38</f>
        <v>0</v>
      </c>
      <c r="X73">
        <f>Source!R38</f>
        <v>0</v>
      </c>
      <c r="Y73">
        <f>Source!U38</f>
        <v>0</v>
      </c>
      <c r="Z73">
        <f>Source!V38</f>
        <v>0</v>
      </c>
      <c r="AA73">
        <f>Source!X38</f>
        <v>0</v>
      </c>
      <c r="AB73">
        <f>Source!Y38</f>
        <v>0</v>
      </c>
    </row>
    <row r="74" spans="1:28" ht="14.25" x14ac:dyDescent="0.2">
      <c r="A74" s="35"/>
      <c r="B74" s="35"/>
      <c r="C74" s="40" t="str">
        <f>Source!H38</f>
        <v>шт.</v>
      </c>
      <c r="D74" s="38"/>
      <c r="E74" s="39">
        <f>Source!AF38</f>
        <v>0</v>
      </c>
      <c r="F74" s="39">
        <f>Source!AE38</f>
        <v>0</v>
      </c>
      <c r="G74" s="39"/>
      <c r="H74" s="39"/>
      <c r="I74" s="39">
        <f>Source!R38</f>
        <v>0</v>
      </c>
      <c r="J74" s="39">
        <f>Source!AI38</f>
        <v>0</v>
      </c>
      <c r="K74" s="39">
        <f>Source!V38</f>
        <v>0</v>
      </c>
    </row>
    <row r="75" spans="1:28" ht="54" x14ac:dyDescent="0.2">
      <c r="A75" s="36" t="str">
        <f>Source!E39</f>
        <v>4,3</v>
      </c>
      <c r="B75" s="36" t="str">
        <f>Source!F39</f>
        <v>Прайс-лист стр.4</v>
      </c>
      <c r="C75" s="37" t="s">
        <v>448</v>
      </c>
      <c r="D75" s="38">
        <f>Source!I39</f>
        <v>8</v>
      </c>
      <c r="E75" s="39">
        <f>Source!AB39</f>
        <v>24.7</v>
      </c>
      <c r="F75" s="39">
        <f>Source!AD39</f>
        <v>0</v>
      </c>
      <c r="G75" s="39">
        <f>Source!O39</f>
        <v>197.6</v>
      </c>
      <c r="H75" s="39">
        <f>Source!S39</f>
        <v>0</v>
      </c>
      <c r="I75" s="39">
        <f>Source!Q39</f>
        <v>0</v>
      </c>
      <c r="J75" s="39">
        <f>Source!AH39</f>
        <v>0</v>
      </c>
      <c r="K75" s="39">
        <f>Source!U39</f>
        <v>0</v>
      </c>
      <c r="T75">
        <f>Source!O39+Source!X39+Source!Y39</f>
        <v>197.6</v>
      </c>
      <c r="U75">
        <f>Source!P39</f>
        <v>197.6</v>
      </c>
      <c r="V75">
        <f>Source!S39</f>
        <v>0</v>
      </c>
      <c r="W75">
        <f>Source!Q39</f>
        <v>0</v>
      </c>
      <c r="X75">
        <f>Source!R39</f>
        <v>0</v>
      </c>
      <c r="Y75">
        <f>Source!U39</f>
        <v>0</v>
      </c>
      <c r="Z75">
        <f>Source!V39</f>
        <v>0</v>
      </c>
      <c r="AA75">
        <f>Source!X39</f>
        <v>0</v>
      </c>
      <c r="AB75">
        <f>Source!Y39</f>
        <v>0</v>
      </c>
    </row>
    <row r="76" spans="1:28" ht="14.25" x14ac:dyDescent="0.2">
      <c r="A76" s="35"/>
      <c r="B76" s="35"/>
      <c r="C76" s="40" t="str">
        <f>Source!H39</f>
        <v>шт.</v>
      </c>
      <c r="D76" s="38"/>
      <c r="E76" s="39">
        <f>Source!AF39</f>
        <v>0</v>
      </c>
      <c r="F76" s="39">
        <f>Source!AE39</f>
        <v>0</v>
      </c>
      <c r="G76" s="39"/>
      <c r="H76" s="39"/>
      <c r="I76" s="39">
        <f>Source!R39</f>
        <v>0</v>
      </c>
      <c r="J76" s="39">
        <f>Source!AI39</f>
        <v>0</v>
      </c>
      <c r="K76" s="39">
        <f>Source!V39</f>
        <v>0</v>
      </c>
    </row>
    <row r="77" spans="1:28" ht="39.75" x14ac:dyDescent="0.2">
      <c r="A77" s="36" t="str">
        <f>Source!E40</f>
        <v>4,4</v>
      </c>
      <c r="B77" s="36" t="str">
        <f>Source!F40</f>
        <v>Прайс-лист стр.5</v>
      </c>
      <c r="C77" s="37" t="s">
        <v>449</v>
      </c>
      <c r="D77" s="38">
        <f>Source!I40</f>
        <v>15</v>
      </c>
      <c r="E77" s="39">
        <f>Source!AB40</f>
        <v>21.77</v>
      </c>
      <c r="F77" s="39">
        <f>Source!AD40</f>
        <v>0</v>
      </c>
      <c r="G77" s="39">
        <f>Source!O40</f>
        <v>326.55</v>
      </c>
      <c r="H77" s="39">
        <f>Source!S40</f>
        <v>0</v>
      </c>
      <c r="I77" s="39">
        <f>Source!Q40</f>
        <v>0</v>
      </c>
      <c r="J77" s="39">
        <f>Source!AH40</f>
        <v>0</v>
      </c>
      <c r="K77" s="39">
        <f>Source!U40</f>
        <v>0</v>
      </c>
      <c r="T77">
        <f>Source!O40+Source!X40+Source!Y40</f>
        <v>326.55</v>
      </c>
      <c r="U77">
        <f>Source!P40</f>
        <v>326.55</v>
      </c>
      <c r="V77">
        <f>Source!S40</f>
        <v>0</v>
      </c>
      <c r="W77">
        <f>Source!Q40</f>
        <v>0</v>
      </c>
      <c r="X77">
        <f>Source!R40</f>
        <v>0</v>
      </c>
      <c r="Y77">
        <f>Source!U40</f>
        <v>0</v>
      </c>
      <c r="Z77">
        <f>Source!V40</f>
        <v>0</v>
      </c>
      <c r="AA77">
        <f>Source!X40</f>
        <v>0</v>
      </c>
      <c r="AB77">
        <f>Source!Y40</f>
        <v>0</v>
      </c>
    </row>
    <row r="78" spans="1:28" ht="14.25" x14ac:dyDescent="0.2">
      <c r="A78" s="35"/>
      <c r="B78" s="35"/>
      <c r="C78" s="40" t="str">
        <f>Source!H40</f>
        <v>шт.</v>
      </c>
      <c r="D78" s="38"/>
      <c r="E78" s="39">
        <f>Source!AF40</f>
        <v>0</v>
      </c>
      <c r="F78" s="39">
        <f>Source!AE40</f>
        <v>0</v>
      </c>
      <c r="G78" s="39"/>
      <c r="H78" s="39"/>
      <c r="I78" s="39">
        <f>Source!R40</f>
        <v>0</v>
      </c>
      <c r="J78" s="39">
        <f>Source!AI40</f>
        <v>0</v>
      </c>
      <c r="K78" s="39">
        <f>Source!V40</f>
        <v>0</v>
      </c>
    </row>
    <row r="79" spans="1:28" ht="14.25" x14ac:dyDescent="0.2">
      <c r="A79" s="36" t="str">
        <f>Source!E41</f>
        <v>4,5</v>
      </c>
      <c r="B79" s="36" t="str">
        <f>Source!F41</f>
        <v>111-3161</v>
      </c>
      <c r="C79" s="37" t="str">
        <f>Source!G41</f>
        <v>Хомут стяжной (СИП) Е778</v>
      </c>
      <c r="D79" s="38">
        <f>Source!I41</f>
        <v>12</v>
      </c>
      <c r="E79" s="39">
        <f>Source!AB41</f>
        <v>2.06</v>
      </c>
      <c r="F79" s="39">
        <f>Source!AD41</f>
        <v>0</v>
      </c>
      <c r="G79" s="39">
        <f>Source!O41</f>
        <v>24.72</v>
      </c>
      <c r="H79" s="39">
        <f>Source!S41</f>
        <v>0</v>
      </c>
      <c r="I79" s="39">
        <f>Source!Q41</f>
        <v>0</v>
      </c>
      <c r="J79" s="39">
        <f>Source!AH41</f>
        <v>0</v>
      </c>
      <c r="K79" s="39">
        <f>Source!U41</f>
        <v>0</v>
      </c>
      <c r="T79">
        <f>Source!O41+Source!X41+Source!Y41</f>
        <v>24.72</v>
      </c>
      <c r="U79">
        <f>Source!P41</f>
        <v>24.72</v>
      </c>
      <c r="V79">
        <f>Source!S41</f>
        <v>0</v>
      </c>
      <c r="W79">
        <f>Source!Q41</f>
        <v>0</v>
      </c>
      <c r="X79">
        <f>Source!R41</f>
        <v>0</v>
      </c>
      <c r="Y79">
        <f>Source!U41</f>
        <v>0</v>
      </c>
      <c r="Z79">
        <f>Source!V41</f>
        <v>0</v>
      </c>
      <c r="AA79">
        <f>Source!X41</f>
        <v>0</v>
      </c>
      <c r="AB79">
        <f>Source!Y41</f>
        <v>0</v>
      </c>
    </row>
    <row r="80" spans="1:28" ht="14.25" x14ac:dyDescent="0.2">
      <c r="A80" s="35"/>
      <c r="B80" s="35"/>
      <c r="C80" s="40" t="str">
        <f>Source!H41</f>
        <v>шт.</v>
      </c>
      <c r="D80" s="38"/>
      <c r="E80" s="39">
        <f>Source!AF41</f>
        <v>0</v>
      </c>
      <c r="F80" s="39">
        <f>Source!AE41</f>
        <v>0</v>
      </c>
      <c r="G80" s="39"/>
      <c r="H80" s="39"/>
      <c r="I80" s="39">
        <f>Source!R41</f>
        <v>0</v>
      </c>
      <c r="J80" s="39">
        <f>Source!AI41</f>
        <v>0</v>
      </c>
      <c r="K80" s="39">
        <f>Source!V41</f>
        <v>0</v>
      </c>
    </row>
    <row r="81" spans="1:28" ht="28.5" x14ac:dyDescent="0.2">
      <c r="A81" s="36" t="str">
        <f>Source!E42</f>
        <v>4,6</v>
      </c>
      <c r="B81" s="36" t="str">
        <f>Source!F42</f>
        <v>111-0139</v>
      </c>
      <c r="C81" s="37" t="str">
        <f>Source!G42</f>
        <v>Зажим ответвительный с прокалыванием изоляции (СИП) P 645</v>
      </c>
      <c r="D81" s="38">
        <f>Source!I42</f>
        <v>2</v>
      </c>
      <c r="E81" s="39">
        <f>Source!AB42</f>
        <v>31.7</v>
      </c>
      <c r="F81" s="39">
        <f>Source!AD42</f>
        <v>0</v>
      </c>
      <c r="G81" s="39">
        <f>Source!O42</f>
        <v>63.4</v>
      </c>
      <c r="H81" s="39">
        <f>Source!S42</f>
        <v>0</v>
      </c>
      <c r="I81" s="39">
        <f>Source!Q42</f>
        <v>0</v>
      </c>
      <c r="J81" s="39">
        <f>Source!AH42</f>
        <v>0</v>
      </c>
      <c r="K81" s="39">
        <f>Source!U42</f>
        <v>0</v>
      </c>
      <c r="T81">
        <f>Source!O42+Source!X42+Source!Y42</f>
        <v>63.4</v>
      </c>
      <c r="U81">
        <f>Source!P42</f>
        <v>63.4</v>
      </c>
      <c r="V81">
        <f>Source!S42</f>
        <v>0</v>
      </c>
      <c r="W81">
        <f>Source!Q42</f>
        <v>0</v>
      </c>
      <c r="X81">
        <f>Source!R42</f>
        <v>0</v>
      </c>
      <c r="Y81">
        <f>Source!U42</f>
        <v>0</v>
      </c>
      <c r="Z81">
        <f>Source!V42</f>
        <v>0</v>
      </c>
      <c r="AA81">
        <f>Source!X42</f>
        <v>0</v>
      </c>
      <c r="AB81">
        <f>Source!Y42</f>
        <v>0</v>
      </c>
    </row>
    <row r="82" spans="1:28" ht="14.25" x14ac:dyDescent="0.2">
      <c r="A82" s="35"/>
      <c r="B82" s="35"/>
      <c r="C82" s="40" t="str">
        <f>Source!H42</f>
        <v>шт.</v>
      </c>
      <c r="D82" s="38"/>
      <c r="E82" s="39">
        <f>Source!AF42</f>
        <v>0</v>
      </c>
      <c r="F82" s="39">
        <f>Source!AE42</f>
        <v>0</v>
      </c>
      <c r="G82" s="39"/>
      <c r="H82" s="39"/>
      <c r="I82" s="39">
        <f>Source!R42</f>
        <v>0</v>
      </c>
      <c r="J82" s="39">
        <f>Source!AI42</f>
        <v>0</v>
      </c>
      <c r="K82" s="39">
        <f>Source!V42</f>
        <v>0</v>
      </c>
    </row>
    <row r="83" spans="1:28" ht="28.5" x14ac:dyDescent="0.2">
      <c r="A83" s="36" t="str">
        <f>Source!E43</f>
        <v>4,7</v>
      </c>
      <c r="B83" s="36" t="str">
        <f>Source!F43</f>
        <v>509-1716</v>
      </c>
      <c r="C83" s="37" t="str">
        <f>Source!G43</f>
        <v>Зажим соединительный плашечный ПС-2-1</v>
      </c>
      <c r="D83" s="38">
        <f>Source!I43</f>
        <v>6</v>
      </c>
      <c r="E83" s="39">
        <f>Source!AB43</f>
        <v>11.6</v>
      </c>
      <c r="F83" s="39">
        <f>Source!AD43</f>
        <v>0</v>
      </c>
      <c r="G83" s="39">
        <f>Source!O43</f>
        <v>69.599999999999994</v>
      </c>
      <c r="H83" s="39">
        <f>Source!S43</f>
        <v>0</v>
      </c>
      <c r="I83" s="39">
        <f>Source!Q43</f>
        <v>0</v>
      </c>
      <c r="J83" s="39">
        <f>Source!AH43</f>
        <v>0</v>
      </c>
      <c r="K83" s="39">
        <f>Source!U43</f>
        <v>0</v>
      </c>
      <c r="T83">
        <f>Source!O43+Source!X43+Source!Y43</f>
        <v>69.599999999999994</v>
      </c>
      <c r="U83">
        <f>Source!P43</f>
        <v>69.599999999999994</v>
      </c>
      <c r="V83">
        <f>Source!S43</f>
        <v>0</v>
      </c>
      <c r="W83">
        <f>Source!Q43</f>
        <v>0</v>
      </c>
      <c r="X83">
        <f>Source!R43</f>
        <v>0</v>
      </c>
      <c r="Y83">
        <f>Source!U43</f>
        <v>0</v>
      </c>
      <c r="Z83">
        <f>Source!V43</f>
        <v>0</v>
      </c>
      <c r="AA83">
        <f>Source!X43</f>
        <v>0</v>
      </c>
      <c r="AB83">
        <f>Source!Y43</f>
        <v>0</v>
      </c>
    </row>
    <row r="84" spans="1:28" ht="14.25" x14ac:dyDescent="0.2">
      <c r="A84" s="35"/>
      <c r="B84" s="35"/>
      <c r="C84" s="40" t="str">
        <f>Source!H43</f>
        <v>шт.</v>
      </c>
      <c r="D84" s="38"/>
      <c r="E84" s="39">
        <f>Source!AF43</f>
        <v>0</v>
      </c>
      <c r="F84" s="39">
        <f>Source!AE43</f>
        <v>0</v>
      </c>
      <c r="G84" s="39"/>
      <c r="H84" s="39"/>
      <c r="I84" s="39">
        <f>Source!R43</f>
        <v>0</v>
      </c>
      <c r="J84" s="39">
        <f>Source!AI43</f>
        <v>0</v>
      </c>
      <c r="K84" s="39">
        <f>Source!V43</f>
        <v>0</v>
      </c>
    </row>
    <row r="85" spans="1:28" ht="57" x14ac:dyDescent="0.2">
      <c r="A85" s="36" t="str">
        <f>Source!E44</f>
        <v>4,8</v>
      </c>
      <c r="B85" s="36" t="str">
        <f>Source!F44</f>
        <v>502-0876</v>
      </c>
      <c r="C85" s="37" t="str">
        <f>Source!G44</f>
        <v>Провода самонесущие изолированные для воздушных линий электропередачи с алюминиевыми жилами марки СИП-4 2х25-0,6/1,0</v>
      </c>
      <c r="D85" s="38">
        <f>Source!I44</f>
        <v>0.12138</v>
      </c>
      <c r="E85" s="39">
        <f>Source!AB44</f>
        <v>12292.07</v>
      </c>
      <c r="F85" s="39">
        <f>Source!AD44</f>
        <v>0</v>
      </c>
      <c r="G85" s="39">
        <f>Source!O44</f>
        <v>1492.01</v>
      </c>
      <c r="H85" s="39">
        <f>Source!S44</f>
        <v>0</v>
      </c>
      <c r="I85" s="39">
        <f>Source!Q44</f>
        <v>0</v>
      </c>
      <c r="J85" s="39">
        <f>Source!AH44</f>
        <v>0</v>
      </c>
      <c r="K85" s="39">
        <f>Source!U44</f>
        <v>0</v>
      </c>
      <c r="T85">
        <f>Source!O44+Source!X44+Source!Y44</f>
        <v>1492.01</v>
      </c>
      <c r="U85">
        <f>Source!P44</f>
        <v>1492.01</v>
      </c>
      <c r="V85">
        <f>Source!S44</f>
        <v>0</v>
      </c>
      <c r="W85">
        <f>Source!Q44</f>
        <v>0</v>
      </c>
      <c r="X85">
        <f>Source!R44</f>
        <v>0</v>
      </c>
      <c r="Y85">
        <f>Source!U44</f>
        <v>0</v>
      </c>
      <c r="Z85">
        <f>Source!V44</f>
        <v>0</v>
      </c>
      <c r="AA85">
        <f>Source!X44</f>
        <v>0</v>
      </c>
      <c r="AB85">
        <f>Source!Y44</f>
        <v>0</v>
      </c>
    </row>
    <row r="86" spans="1:28" ht="14.25" x14ac:dyDescent="0.2">
      <c r="A86" s="35"/>
      <c r="B86" s="35"/>
      <c r="C86" s="40" t="str">
        <f>Source!H44</f>
        <v>1000 м</v>
      </c>
      <c r="D86" s="38"/>
      <c r="E86" s="39">
        <f>Source!AF44</f>
        <v>0</v>
      </c>
      <c r="F86" s="39">
        <f>Source!AE44</f>
        <v>0</v>
      </c>
      <c r="G86" s="39"/>
      <c r="H86" s="39"/>
      <c r="I86" s="39">
        <f>Source!R44</f>
        <v>0</v>
      </c>
      <c r="J86" s="39">
        <f>Source!AI44</f>
        <v>0</v>
      </c>
      <c r="K86" s="39">
        <f>Source!V44</f>
        <v>0</v>
      </c>
    </row>
    <row r="87" spans="1:28" ht="28.5" x14ac:dyDescent="0.2">
      <c r="A87" s="36" t="str">
        <f>Source!E45</f>
        <v>4,9</v>
      </c>
      <c r="B87" s="36" t="str">
        <f>Source!F45</f>
        <v>111-0156</v>
      </c>
      <c r="C87" s="37" t="str">
        <f>Source!G45</f>
        <v>Кронштейн анкерный (СИП), марка CA 1500</v>
      </c>
      <c r="D87" s="38">
        <f>Source!I45</f>
        <v>8</v>
      </c>
      <c r="E87" s="39">
        <f>Source!AB45</f>
        <v>32.32</v>
      </c>
      <c r="F87" s="39">
        <f>Source!AD45</f>
        <v>0</v>
      </c>
      <c r="G87" s="39">
        <f>Source!O45</f>
        <v>258.56</v>
      </c>
      <c r="H87" s="39">
        <f>Source!S45</f>
        <v>0</v>
      </c>
      <c r="I87" s="39">
        <f>Source!Q45</f>
        <v>0</v>
      </c>
      <c r="J87" s="39">
        <f>Source!AH45</f>
        <v>0</v>
      </c>
      <c r="K87" s="39">
        <f>Source!U45</f>
        <v>0</v>
      </c>
      <c r="T87">
        <f>Source!O45+Source!X45+Source!Y45</f>
        <v>258.56</v>
      </c>
      <c r="U87">
        <f>Source!P45</f>
        <v>258.56</v>
      </c>
      <c r="V87">
        <f>Source!S45</f>
        <v>0</v>
      </c>
      <c r="W87">
        <f>Source!Q45</f>
        <v>0</v>
      </c>
      <c r="X87">
        <f>Source!R45</f>
        <v>0</v>
      </c>
      <c r="Y87">
        <f>Source!U45</f>
        <v>0</v>
      </c>
      <c r="Z87">
        <f>Source!V45</f>
        <v>0</v>
      </c>
      <c r="AA87">
        <f>Source!X45</f>
        <v>0</v>
      </c>
      <c r="AB87">
        <f>Source!Y45</f>
        <v>0</v>
      </c>
    </row>
    <row r="88" spans="1:28" ht="14.25" x14ac:dyDescent="0.2">
      <c r="A88" s="35"/>
      <c r="B88" s="35"/>
      <c r="C88" s="40" t="str">
        <f>Source!H45</f>
        <v>шт.</v>
      </c>
      <c r="D88" s="38"/>
      <c r="E88" s="39">
        <f>Source!AF45</f>
        <v>0</v>
      </c>
      <c r="F88" s="39">
        <f>Source!AE45</f>
        <v>0</v>
      </c>
      <c r="G88" s="39"/>
      <c r="H88" s="39"/>
      <c r="I88" s="39">
        <f>Source!R45</f>
        <v>0</v>
      </c>
      <c r="J88" s="39">
        <f>Source!AI45</f>
        <v>0</v>
      </c>
      <c r="K88" s="39">
        <f>Source!V45</f>
        <v>0</v>
      </c>
    </row>
    <row r="89" spans="1:28" ht="57" x14ac:dyDescent="0.2">
      <c r="A89" s="36" t="str">
        <f>Source!E46</f>
        <v>4,10</v>
      </c>
      <c r="B89" s="36" t="str">
        <f>Source!F46</f>
        <v>111-3138</v>
      </c>
      <c r="C89" s="37" t="s">
        <v>450</v>
      </c>
      <c r="D89" s="38">
        <f>Source!I46</f>
        <v>-0.23799999999999999</v>
      </c>
      <c r="E89" s="39">
        <f>Source!AB46</f>
        <v>226.87</v>
      </c>
      <c r="F89" s="39">
        <f>Source!AD46</f>
        <v>0</v>
      </c>
      <c r="G89" s="39">
        <f>Source!O46</f>
        <v>-54</v>
      </c>
      <c r="H89" s="39">
        <f>Source!S46</f>
        <v>0</v>
      </c>
      <c r="I89" s="39">
        <f>Source!Q46</f>
        <v>0</v>
      </c>
      <c r="J89" s="39">
        <f>Source!AH46</f>
        <v>0</v>
      </c>
      <c r="K89" s="39">
        <f>Source!U46</f>
        <v>0</v>
      </c>
      <c r="T89">
        <f>Source!O46+Source!X46+Source!Y46</f>
        <v>-54</v>
      </c>
      <c r="U89">
        <f>Source!P46</f>
        <v>-54</v>
      </c>
      <c r="V89">
        <f>Source!S46</f>
        <v>0</v>
      </c>
      <c r="W89">
        <f>Source!Q46</f>
        <v>0</v>
      </c>
      <c r="X89">
        <f>Source!R46</f>
        <v>0</v>
      </c>
      <c r="Y89">
        <f>Source!U46</f>
        <v>0</v>
      </c>
      <c r="Z89">
        <f>Source!V46</f>
        <v>0</v>
      </c>
      <c r="AA89">
        <f>Source!X46</f>
        <v>0</v>
      </c>
      <c r="AB89">
        <f>Source!Y46</f>
        <v>0</v>
      </c>
    </row>
    <row r="90" spans="1:28" ht="14.25" x14ac:dyDescent="0.2">
      <c r="A90" s="35"/>
      <c r="B90" s="35"/>
      <c r="C90" s="40" t="str">
        <f>Source!H46</f>
        <v>компл.</v>
      </c>
      <c r="D90" s="38"/>
      <c r="E90" s="39">
        <f>Source!AF46</f>
        <v>0</v>
      </c>
      <c r="F90" s="39">
        <f>Source!AE46</f>
        <v>0</v>
      </c>
      <c r="G90" s="39"/>
      <c r="H90" s="39"/>
      <c r="I90" s="39">
        <f>Source!R46</f>
        <v>0</v>
      </c>
      <c r="J90" s="39">
        <f>Source!AI46</f>
        <v>0</v>
      </c>
      <c r="K90" s="39">
        <f>Source!V46</f>
        <v>0</v>
      </c>
    </row>
    <row r="91" spans="1:28" ht="42.75" x14ac:dyDescent="0.2">
      <c r="A91" s="36" t="str">
        <f>Source!E47</f>
        <v>4,11</v>
      </c>
      <c r="B91" s="36" t="str">
        <f>Source!F47</f>
        <v>111-3141</v>
      </c>
      <c r="C91" s="37" t="s">
        <v>451</v>
      </c>
      <c r="D91" s="38">
        <f>Source!I47</f>
        <v>-3.4509999999999996</v>
      </c>
      <c r="E91" s="39">
        <f>Source!AB47</f>
        <v>155.47</v>
      </c>
      <c r="F91" s="39">
        <f>Source!AD47</f>
        <v>0</v>
      </c>
      <c r="G91" s="39">
        <f>Source!O47</f>
        <v>-536.53</v>
      </c>
      <c r="H91" s="39">
        <f>Source!S47</f>
        <v>0</v>
      </c>
      <c r="I91" s="39">
        <f>Source!Q47</f>
        <v>0</v>
      </c>
      <c r="J91" s="39">
        <f>Source!AH47</f>
        <v>0</v>
      </c>
      <c r="K91" s="39">
        <f>Source!U47</f>
        <v>0</v>
      </c>
      <c r="T91">
        <f>Source!O47+Source!X47+Source!Y47</f>
        <v>-536.53</v>
      </c>
      <c r="U91">
        <f>Source!P47</f>
        <v>-536.53</v>
      </c>
      <c r="V91">
        <f>Source!S47</f>
        <v>0</v>
      </c>
      <c r="W91">
        <f>Source!Q47</f>
        <v>0</v>
      </c>
      <c r="X91">
        <f>Source!R47</f>
        <v>0</v>
      </c>
      <c r="Y91">
        <f>Source!U47</f>
        <v>0</v>
      </c>
      <c r="Z91">
        <f>Source!V47</f>
        <v>0</v>
      </c>
      <c r="AA91">
        <f>Source!X47</f>
        <v>0</v>
      </c>
      <c r="AB91">
        <f>Source!Y47</f>
        <v>0</v>
      </c>
    </row>
    <row r="92" spans="1:28" ht="14.25" x14ac:dyDescent="0.2">
      <c r="A92" s="35"/>
      <c r="B92" s="35"/>
      <c r="C92" s="40" t="str">
        <f>Source!H47</f>
        <v>компл.</v>
      </c>
      <c r="D92" s="38"/>
      <c r="E92" s="39">
        <f>Source!AF47</f>
        <v>0</v>
      </c>
      <c r="F92" s="39">
        <f>Source!AE47</f>
        <v>0</v>
      </c>
      <c r="G92" s="39"/>
      <c r="H92" s="39"/>
      <c r="I92" s="39">
        <f>Source!R47</f>
        <v>0</v>
      </c>
      <c r="J92" s="39">
        <f>Source!AI47</f>
        <v>0</v>
      </c>
      <c r="K92" s="39">
        <f>Source!V47</f>
        <v>0</v>
      </c>
    </row>
    <row r="93" spans="1:28" ht="28.5" x14ac:dyDescent="0.2">
      <c r="A93" s="36" t="str">
        <f>Source!E48</f>
        <v>5</v>
      </c>
      <c r="B93" s="36" t="str">
        <f>Source!F48</f>
        <v>33-04-015-1</v>
      </c>
      <c r="C93" s="37" t="str">
        <f>Source!G48</f>
        <v>Устройство заземления опор ВЛ и подстанций</v>
      </c>
      <c r="D93" s="38">
        <f>Source!I48</f>
        <v>3</v>
      </c>
      <c r="E93" s="39">
        <f>Source!AB48</f>
        <v>35.06</v>
      </c>
      <c r="F93" s="39">
        <f>Source!AD48</f>
        <v>19.579999999999998</v>
      </c>
      <c r="G93" s="39">
        <f>Source!O48</f>
        <v>105.18</v>
      </c>
      <c r="H93" s="39">
        <f>Source!S48</f>
        <v>42.72</v>
      </c>
      <c r="I93" s="39">
        <f>Source!Q48</f>
        <v>58.74</v>
      </c>
      <c r="J93" s="39">
        <f>Source!AH48</f>
        <v>2.0699999999999998</v>
      </c>
      <c r="K93" s="39">
        <f>Source!U48</f>
        <v>6.2099999999999991</v>
      </c>
      <c r="T93">
        <f>Source!O48+Source!X48+Source!Y48</f>
        <v>171.83</v>
      </c>
      <c r="U93">
        <f>Source!P48</f>
        <v>3.72</v>
      </c>
      <c r="V93">
        <f>Source!S48</f>
        <v>42.72</v>
      </c>
      <c r="W93">
        <f>Source!Q48</f>
        <v>58.74</v>
      </c>
      <c r="X93">
        <f>Source!R48</f>
        <v>0</v>
      </c>
      <c r="Y93">
        <f>Source!U48</f>
        <v>6.2099999999999991</v>
      </c>
      <c r="Z93">
        <f>Source!V48</f>
        <v>0</v>
      </c>
      <c r="AA93">
        <f>Source!X48</f>
        <v>44.86</v>
      </c>
      <c r="AB93">
        <f>Source!Y48</f>
        <v>21.79</v>
      </c>
    </row>
    <row r="94" spans="1:28" ht="14.25" x14ac:dyDescent="0.2">
      <c r="A94" s="35"/>
      <c r="B94" s="35"/>
      <c r="C94" s="40" t="str">
        <f>Source!H48</f>
        <v>10 м шин заземления</v>
      </c>
      <c r="D94" s="38"/>
      <c r="E94" s="39">
        <f>Source!AF48</f>
        <v>14.24</v>
      </c>
      <c r="F94" s="39">
        <f>Source!AE48</f>
        <v>0</v>
      </c>
      <c r="G94" s="39"/>
      <c r="H94" s="39"/>
      <c r="I94" s="39">
        <f>Source!R48</f>
        <v>0</v>
      </c>
      <c r="J94" s="39">
        <f>Source!AI48</f>
        <v>0</v>
      </c>
      <c r="K94" s="39">
        <f>Source!V48</f>
        <v>0</v>
      </c>
    </row>
    <row r="95" spans="1:28" x14ac:dyDescent="0.2">
      <c r="A95" s="35"/>
      <c r="B95" s="35"/>
      <c r="C95" s="48" t="str">
        <f>"Объем: "&amp;Source!I48&amp;"=30/"&amp;"10"</f>
        <v>Объем: 3=30/10</v>
      </c>
      <c r="D95" s="35"/>
      <c r="E95" s="35"/>
      <c r="F95" s="35"/>
      <c r="G95" s="35"/>
      <c r="H95" s="35"/>
      <c r="I95" s="35"/>
      <c r="J95" s="35"/>
      <c r="K95" s="35"/>
    </row>
    <row r="96" spans="1:28" x14ac:dyDescent="0.2">
      <c r="A96" s="35"/>
      <c r="B96" s="35"/>
      <c r="C96" s="48" t="s">
        <v>437</v>
      </c>
      <c r="D96" s="55" t="s">
        <v>11</v>
      </c>
      <c r="E96" s="55"/>
      <c r="F96" s="55"/>
      <c r="G96" s="55"/>
      <c r="H96" s="55"/>
      <c r="I96" s="55"/>
      <c r="J96" s="55"/>
      <c r="K96" s="55"/>
    </row>
    <row r="97" spans="1:28" x14ac:dyDescent="0.2">
      <c r="A97" s="35"/>
      <c r="B97" s="35"/>
      <c r="C97" s="48" t="s">
        <v>438</v>
      </c>
      <c r="D97" s="55" t="s">
        <v>11</v>
      </c>
      <c r="E97" s="55"/>
      <c r="F97" s="55"/>
      <c r="G97" s="55"/>
      <c r="H97" s="55"/>
      <c r="I97" s="55"/>
      <c r="J97" s="55"/>
      <c r="K97" s="55"/>
    </row>
    <row r="98" spans="1:28" x14ac:dyDescent="0.2">
      <c r="A98" s="35"/>
      <c r="B98" s="35"/>
      <c r="C98" s="48" t="s">
        <v>439</v>
      </c>
      <c r="D98" s="55" t="s">
        <v>12</v>
      </c>
      <c r="E98" s="55"/>
      <c r="F98" s="55"/>
      <c r="G98" s="55"/>
      <c r="H98" s="55"/>
      <c r="I98" s="55"/>
      <c r="J98" s="55"/>
      <c r="K98" s="55"/>
    </row>
    <row r="99" spans="1:28" x14ac:dyDescent="0.2">
      <c r="A99" s="35"/>
      <c r="B99" s="35"/>
      <c r="C99" s="48" t="s">
        <v>440</v>
      </c>
      <c r="D99" s="55" t="s">
        <v>12</v>
      </c>
      <c r="E99" s="55"/>
      <c r="F99" s="55"/>
      <c r="G99" s="55"/>
      <c r="H99" s="55"/>
      <c r="I99" s="55"/>
      <c r="J99" s="55"/>
      <c r="K99" s="55"/>
    </row>
    <row r="100" spans="1:28" x14ac:dyDescent="0.2">
      <c r="A100" s="35"/>
      <c r="B100" s="35"/>
      <c r="C100" s="48" t="s">
        <v>441</v>
      </c>
      <c r="D100" s="55" t="s">
        <v>11</v>
      </c>
      <c r="E100" s="55"/>
      <c r="F100" s="55"/>
      <c r="G100" s="55"/>
      <c r="H100" s="55"/>
      <c r="I100" s="55"/>
      <c r="J100" s="55"/>
      <c r="K100" s="55"/>
    </row>
    <row r="101" spans="1:28" x14ac:dyDescent="0.2">
      <c r="A101" s="35"/>
      <c r="B101" s="35"/>
      <c r="C101" s="48" t="s">
        <v>442</v>
      </c>
      <c r="D101" s="55" t="s">
        <v>25</v>
      </c>
      <c r="E101" s="55"/>
      <c r="F101" s="55"/>
      <c r="G101" s="55"/>
      <c r="H101" s="55"/>
      <c r="I101" s="55"/>
      <c r="J101" s="55"/>
      <c r="K101" s="55"/>
    </row>
    <row r="102" spans="1:28" x14ac:dyDescent="0.2">
      <c r="A102" s="35"/>
      <c r="B102" s="35"/>
      <c r="C102" s="41" t="s">
        <v>443</v>
      </c>
      <c r="D102" s="42">
        <f>Source!BZ48</f>
        <v>105</v>
      </c>
      <c r="E102" s="43">
        <f>(Source!AF48+Source!AE48)*Source!FX48/100</f>
        <v>14.952</v>
      </c>
      <c r="F102" s="42"/>
      <c r="G102" s="43">
        <f>Source!X48</f>
        <v>44.86</v>
      </c>
      <c r="H102" s="42" t="str">
        <f>CONCATENATE(Source!AT48)</f>
        <v>105</v>
      </c>
      <c r="I102" s="42"/>
      <c r="J102" s="42"/>
      <c r="K102" s="42"/>
    </row>
    <row r="103" spans="1:28" x14ac:dyDescent="0.2">
      <c r="A103" s="35"/>
      <c r="B103" s="35"/>
      <c r="C103" s="41" t="s">
        <v>444</v>
      </c>
      <c r="D103" s="42">
        <f>Source!CA48</f>
        <v>60</v>
      </c>
      <c r="E103" s="43">
        <f>(Source!AF48+Source!AE48)*Source!FY48/100</f>
        <v>7.2624000000000004</v>
      </c>
      <c r="F103" s="42" t="str">
        <f>CONCATENATE(Source!DM48,Source!FU48, "=", Source!FY48, "%")</f>
        <v>*0,85=51%</v>
      </c>
      <c r="G103" s="43">
        <f>Source!Y48</f>
        <v>21.79</v>
      </c>
      <c r="H103" s="42" t="str">
        <f>CONCATENATE(Source!AU48)</f>
        <v>51</v>
      </c>
      <c r="I103" s="42"/>
      <c r="J103" s="42"/>
      <c r="K103" s="42"/>
    </row>
    <row r="104" spans="1:28" x14ac:dyDescent="0.2">
      <c r="A104" s="35"/>
      <c r="B104" s="35"/>
      <c r="C104" s="41" t="s">
        <v>445</v>
      </c>
      <c r="D104" s="42"/>
      <c r="E104" s="43">
        <f>((Source!AF48+Source!AE48)*Source!FX48/100)+((Source!AF48+Source!AE48)*Source!FY48/100)+Source!AB48</f>
        <v>57.2744</v>
      </c>
      <c r="F104" s="42"/>
      <c r="G104" s="43">
        <f>Source!O48+Source!X48+Source!Y48</f>
        <v>171.83</v>
      </c>
      <c r="H104" s="42"/>
      <c r="I104" s="42"/>
      <c r="J104" s="42"/>
      <c r="K104" s="42"/>
    </row>
    <row r="105" spans="1:28" ht="28.5" x14ac:dyDescent="0.2">
      <c r="A105" s="36" t="str">
        <f>Source!E49</f>
        <v>5,1</v>
      </c>
      <c r="B105" s="36" t="str">
        <f>Source!F49</f>
        <v>204-0004</v>
      </c>
      <c r="C105" s="37" t="str">
        <f>Source!G49</f>
        <v>Горячекатаная арматурная сталь гладкая класса А-I, диаметром 12 мм</v>
      </c>
      <c r="D105" s="38">
        <f>Source!I49</f>
        <v>1.3799999999999999E-3</v>
      </c>
      <c r="E105" s="39">
        <f>Source!AB49</f>
        <v>6168</v>
      </c>
      <c r="F105" s="39">
        <f>Source!AD49</f>
        <v>0</v>
      </c>
      <c r="G105" s="39">
        <f>Source!O49</f>
        <v>8.51</v>
      </c>
      <c r="H105" s="39">
        <f>Source!S49</f>
        <v>0</v>
      </c>
      <c r="I105" s="39">
        <f>Source!Q49</f>
        <v>0</v>
      </c>
      <c r="J105" s="39">
        <f>Source!AH49</f>
        <v>0</v>
      </c>
      <c r="K105" s="39">
        <f>Source!U49</f>
        <v>0</v>
      </c>
      <c r="T105">
        <f>Source!O49+Source!X49+Source!Y49</f>
        <v>8.51</v>
      </c>
      <c r="U105">
        <f>Source!P49</f>
        <v>8.51</v>
      </c>
      <c r="V105">
        <f>Source!S49</f>
        <v>0</v>
      </c>
      <c r="W105">
        <f>Source!Q49</f>
        <v>0</v>
      </c>
      <c r="X105">
        <f>Source!R49</f>
        <v>0</v>
      </c>
      <c r="Y105">
        <f>Source!U49</f>
        <v>0</v>
      </c>
      <c r="Z105">
        <f>Source!V49</f>
        <v>0</v>
      </c>
      <c r="AA105">
        <f>Source!X49</f>
        <v>0</v>
      </c>
      <c r="AB105">
        <f>Source!Y49</f>
        <v>0</v>
      </c>
    </row>
    <row r="106" spans="1:28" ht="14.25" x14ac:dyDescent="0.2">
      <c r="A106" s="35"/>
      <c r="B106" s="35"/>
      <c r="C106" s="40" t="str">
        <f>Source!H49</f>
        <v>т</v>
      </c>
      <c r="D106" s="38"/>
      <c r="E106" s="39">
        <f>Source!AF49</f>
        <v>0</v>
      </c>
      <c r="F106" s="39">
        <f>Source!AE49</f>
        <v>0</v>
      </c>
      <c r="G106" s="39"/>
      <c r="H106" s="39"/>
      <c r="I106" s="39">
        <f>Source!R49</f>
        <v>0</v>
      </c>
      <c r="J106" s="39">
        <f>Source!AI49</f>
        <v>0</v>
      </c>
      <c r="K106" s="39">
        <f>Source!V49</f>
        <v>0</v>
      </c>
    </row>
    <row r="107" spans="1:28" ht="28.5" x14ac:dyDescent="0.2">
      <c r="A107" s="36" t="str">
        <f>Source!E50</f>
        <v>5,2</v>
      </c>
      <c r="B107" s="36" t="str">
        <f>Source!F50</f>
        <v>204-0003</v>
      </c>
      <c r="C107" s="37" t="str">
        <f>Source!G50</f>
        <v>Горячекатаная арматурная сталь гладкая класса А-I, диаметром 10 мм</v>
      </c>
      <c r="D107" s="38">
        <f>Source!I50</f>
        <v>1.4789999999999998E-2</v>
      </c>
      <c r="E107" s="39">
        <f>Source!AB50</f>
        <v>6240.48</v>
      </c>
      <c r="F107" s="39">
        <f>Source!AD50</f>
        <v>0</v>
      </c>
      <c r="G107" s="39">
        <f>Source!O50</f>
        <v>92.3</v>
      </c>
      <c r="H107" s="39">
        <f>Source!S50</f>
        <v>0</v>
      </c>
      <c r="I107" s="39">
        <f>Source!Q50</f>
        <v>0</v>
      </c>
      <c r="J107" s="39">
        <f>Source!AH50</f>
        <v>0</v>
      </c>
      <c r="K107" s="39">
        <f>Source!U50</f>
        <v>0</v>
      </c>
      <c r="T107">
        <f>Source!O50+Source!X50+Source!Y50</f>
        <v>92.3</v>
      </c>
      <c r="U107">
        <f>Source!P50</f>
        <v>92.3</v>
      </c>
      <c r="V107">
        <f>Source!S50</f>
        <v>0</v>
      </c>
      <c r="W107">
        <f>Source!Q50</f>
        <v>0</v>
      </c>
      <c r="X107">
        <f>Source!R50</f>
        <v>0</v>
      </c>
      <c r="Y107">
        <f>Source!U50</f>
        <v>0</v>
      </c>
      <c r="Z107">
        <f>Source!V50</f>
        <v>0</v>
      </c>
      <c r="AA107">
        <f>Source!X50</f>
        <v>0</v>
      </c>
      <c r="AB107">
        <f>Source!Y50</f>
        <v>0</v>
      </c>
    </row>
    <row r="108" spans="1:28" ht="14.25" x14ac:dyDescent="0.2">
      <c r="A108" s="35"/>
      <c r="B108" s="35"/>
      <c r="C108" s="40" t="str">
        <f>Source!H50</f>
        <v>т</v>
      </c>
      <c r="D108" s="38"/>
      <c r="E108" s="39">
        <f>Source!AF50</f>
        <v>0</v>
      </c>
      <c r="F108" s="39">
        <f>Source!AE50</f>
        <v>0</v>
      </c>
      <c r="G108" s="39"/>
      <c r="H108" s="39"/>
      <c r="I108" s="39">
        <f>Source!R50</f>
        <v>0</v>
      </c>
      <c r="J108" s="39">
        <f>Source!AI50</f>
        <v>0</v>
      </c>
      <c r="K108" s="39">
        <f>Source!V50</f>
        <v>0</v>
      </c>
    </row>
    <row r="109" spans="1:28" ht="54" x14ac:dyDescent="0.2">
      <c r="A109" s="36" t="str">
        <f>Source!E51</f>
        <v>5,3</v>
      </c>
      <c r="B109" s="36" t="str">
        <f>Source!F51</f>
        <v>Прайс-лист стр.8</v>
      </c>
      <c r="C109" s="37" t="s">
        <v>452</v>
      </c>
      <c r="D109" s="38">
        <f>Source!I51</f>
        <v>5</v>
      </c>
      <c r="E109" s="39">
        <f>Source!AB51</f>
        <v>23.45</v>
      </c>
      <c r="F109" s="39">
        <f>Source!AD51</f>
        <v>0</v>
      </c>
      <c r="G109" s="39">
        <f>Source!O51</f>
        <v>117.25</v>
      </c>
      <c r="H109" s="39">
        <f>Source!S51</f>
        <v>0</v>
      </c>
      <c r="I109" s="39">
        <f>Source!Q51</f>
        <v>0</v>
      </c>
      <c r="J109" s="39">
        <f>Source!AH51</f>
        <v>0</v>
      </c>
      <c r="K109" s="39">
        <f>Source!U51</f>
        <v>0</v>
      </c>
      <c r="T109">
        <f>Source!O51+Source!X51+Source!Y51</f>
        <v>117.25</v>
      </c>
      <c r="U109">
        <f>Source!P51</f>
        <v>117.25</v>
      </c>
      <c r="V109">
        <f>Source!S51</f>
        <v>0</v>
      </c>
      <c r="W109">
        <f>Source!Q51</f>
        <v>0</v>
      </c>
      <c r="X109">
        <f>Source!R51</f>
        <v>0</v>
      </c>
      <c r="Y109">
        <f>Source!U51</f>
        <v>0</v>
      </c>
      <c r="Z109">
        <f>Source!V51</f>
        <v>0</v>
      </c>
      <c r="AA109">
        <f>Source!X51</f>
        <v>0</v>
      </c>
      <c r="AB109">
        <f>Source!Y51</f>
        <v>0</v>
      </c>
    </row>
    <row r="110" spans="1:28" ht="14.25" x14ac:dyDescent="0.2">
      <c r="A110" s="35"/>
      <c r="B110" s="35"/>
      <c r="C110" s="40" t="str">
        <f>Source!H51</f>
        <v>шт.</v>
      </c>
      <c r="D110" s="38"/>
      <c r="E110" s="39">
        <f>Source!AF51</f>
        <v>0</v>
      </c>
      <c r="F110" s="39">
        <f>Source!AE51</f>
        <v>0</v>
      </c>
      <c r="G110" s="39"/>
      <c r="H110" s="39"/>
      <c r="I110" s="39">
        <f>Source!R51</f>
        <v>0</v>
      </c>
      <c r="J110" s="39">
        <f>Source!AI51</f>
        <v>0</v>
      </c>
      <c r="K110" s="39">
        <f>Source!V51</f>
        <v>0</v>
      </c>
    </row>
    <row r="111" spans="1:28" ht="28.5" x14ac:dyDescent="0.2">
      <c r="A111" s="36" t="str">
        <f>Source!E52</f>
        <v>6</v>
      </c>
      <c r="B111" s="36" t="str">
        <f>Source!F52</f>
        <v>33-03-004-2</v>
      </c>
      <c r="C111" s="37" t="str">
        <f>Source!G52</f>
        <v>Забивка вертикальных заземлителей вручную на глубину до 3 м</v>
      </c>
      <c r="D111" s="38">
        <f>Source!I52</f>
        <v>5</v>
      </c>
      <c r="E111" s="39">
        <f>Source!AB52</f>
        <v>39.86</v>
      </c>
      <c r="F111" s="39">
        <f>Source!AD52</f>
        <v>3.33</v>
      </c>
      <c r="G111" s="39">
        <f>Source!O52</f>
        <v>199.3</v>
      </c>
      <c r="H111" s="39">
        <f>Source!S52</f>
        <v>26.9</v>
      </c>
      <c r="I111" s="39">
        <f>Source!Q52</f>
        <v>16.649999999999999</v>
      </c>
      <c r="J111" s="39">
        <f>Source!AH52</f>
        <v>0.78200000000000003</v>
      </c>
      <c r="K111" s="39">
        <f>Source!U52</f>
        <v>3.91</v>
      </c>
      <c r="T111">
        <f>Source!O52+Source!X52+Source!Y52</f>
        <v>241.27</v>
      </c>
      <c r="U111">
        <f>Source!P52</f>
        <v>155.75</v>
      </c>
      <c r="V111">
        <f>Source!S52</f>
        <v>26.9</v>
      </c>
      <c r="W111">
        <f>Source!Q52</f>
        <v>16.649999999999999</v>
      </c>
      <c r="X111">
        <f>Source!R52</f>
        <v>0</v>
      </c>
      <c r="Y111">
        <f>Source!U52</f>
        <v>3.91</v>
      </c>
      <c r="Z111">
        <f>Source!V52</f>
        <v>0</v>
      </c>
      <c r="AA111">
        <f>Source!X52</f>
        <v>28.25</v>
      </c>
      <c r="AB111">
        <f>Source!Y52</f>
        <v>13.72</v>
      </c>
    </row>
    <row r="112" spans="1:28" ht="14.25" x14ac:dyDescent="0.2">
      <c r="A112" s="35"/>
      <c r="B112" s="35"/>
      <c r="C112" s="40" t="str">
        <f>Source!H52</f>
        <v>1 заземлитель</v>
      </c>
      <c r="D112" s="38"/>
      <c r="E112" s="39">
        <f>Source!AF52</f>
        <v>5.38</v>
      </c>
      <c r="F112" s="39">
        <f>Source!AE52</f>
        <v>0</v>
      </c>
      <c r="G112" s="39"/>
      <c r="H112" s="39"/>
      <c r="I112" s="39">
        <f>Source!R52</f>
        <v>0</v>
      </c>
      <c r="J112" s="39">
        <f>Source!AI52</f>
        <v>0</v>
      </c>
      <c r="K112" s="39">
        <f>Source!V52</f>
        <v>0</v>
      </c>
    </row>
    <row r="113" spans="1:28" x14ac:dyDescent="0.2">
      <c r="A113" s="35"/>
      <c r="B113" s="35"/>
      <c r="C113" s="48" t="s">
        <v>437</v>
      </c>
      <c r="D113" s="55" t="s">
        <v>11</v>
      </c>
      <c r="E113" s="55"/>
      <c r="F113" s="55"/>
      <c r="G113" s="55"/>
      <c r="H113" s="55"/>
      <c r="I113" s="55"/>
      <c r="J113" s="55"/>
      <c r="K113" s="55"/>
    </row>
    <row r="114" spans="1:28" x14ac:dyDescent="0.2">
      <c r="A114" s="35"/>
      <c r="B114" s="35"/>
      <c r="C114" s="48" t="s">
        <v>438</v>
      </c>
      <c r="D114" s="55" t="s">
        <v>11</v>
      </c>
      <c r="E114" s="55"/>
      <c r="F114" s="55"/>
      <c r="G114" s="55"/>
      <c r="H114" s="55"/>
      <c r="I114" s="55"/>
      <c r="J114" s="55"/>
      <c r="K114" s="55"/>
    </row>
    <row r="115" spans="1:28" x14ac:dyDescent="0.2">
      <c r="A115" s="35"/>
      <c r="B115" s="35"/>
      <c r="C115" s="48" t="s">
        <v>439</v>
      </c>
      <c r="D115" s="55" t="s">
        <v>12</v>
      </c>
      <c r="E115" s="55"/>
      <c r="F115" s="55"/>
      <c r="G115" s="55"/>
      <c r="H115" s="55"/>
      <c r="I115" s="55"/>
      <c r="J115" s="55"/>
      <c r="K115" s="55"/>
    </row>
    <row r="116" spans="1:28" x14ac:dyDescent="0.2">
      <c r="A116" s="35"/>
      <c r="B116" s="35"/>
      <c r="C116" s="48" t="s">
        <v>440</v>
      </c>
      <c r="D116" s="55" t="s">
        <v>12</v>
      </c>
      <c r="E116" s="55"/>
      <c r="F116" s="55"/>
      <c r="G116" s="55"/>
      <c r="H116" s="55"/>
      <c r="I116" s="55"/>
      <c r="J116" s="55"/>
      <c r="K116" s="55"/>
    </row>
    <row r="117" spans="1:28" x14ac:dyDescent="0.2">
      <c r="A117" s="35"/>
      <c r="B117" s="35"/>
      <c r="C117" s="48" t="s">
        <v>441</v>
      </c>
      <c r="D117" s="55" t="s">
        <v>11</v>
      </c>
      <c r="E117" s="55"/>
      <c r="F117" s="55"/>
      <c r="G117" s="55"/>
      <c r="H117" s="55"/>
      <c r="I117" s="55"/>
      <c r="J117" s="55"/>
      <c r="K117" s="55"/>
    </row>
    <row r="118" spans="1:28" x14ac:dyDescent="0.2">
      <c r="A118" s="35"/>
      <c r="B118" s="35"/>
      <c r="C118" s="48" t="s">
        <v>442</v>
      </c>
      <c r="D118" s="55" t="s">
        <v>25</v>
      </c>
      <c r="E118" s="55"/>
      <c r="F118" s="55"/>
      <c r="G118" s="55"/>
      <c r="H118" s="55"/>
      <c r="I118" s="55"/>
      <c r="J118" s="55"/>
      <c r="K118" s="55"/>
    </row>
    <row r="119" spans="1:28" x14ac:dyDescent="0.2">
      <c r="A119" s="35"/>
      <c r="B119" s="35"/>
      <c r="C119" s="41" t="s">
        <v>443</v>
      </c>
      <c r="D119" s="42">
        <f>Source!BZ52</f>
        <v>105</v>
      </c>
      <c r="E119" s="43">
        <f>(Source!AF52+Source!AE52)*Source!FX52/100</f>
        <v>5.649</v>
      </c>
      <c r="F119" s="42"/>
      <c r="G119" s="43">
        <f>Source!X52</f>
        <v>28.25</v>
      </c>
      <c r="H119" s="42" t="str">
        <f>CONCATENATE(Source!AT52)</f>
        <v>105</v>
      </c>
      <c r="I119" s="42"/>
      <c r="J119" s="42"/>
      <c r="K119" s="42"/>
    </row>
    <row r="120" spans="1:28" x14ac:dyDescent="0.2">
      <c r="A120" s="35"/>
      <c r="B120" s="35"/>
      <c r="C120" s="41" t="s">
        <v>444</v>
      </c>
      <c r="D120" s="42">
        <f>Source!CA52</f>
        <v>60</v>
      </c>
      <c r="E120" s="43">
        <f>(Source!AF52+Source!AE52)*Source!FY52/100</f>
        <v>2.7437999999999998</v>
      </c>
      <c r="F120" s="42" t="str">
        <f>CONCATENATE(Source!DM52,Source!FU52, "=", Source!FY52, "%")</f>
        <v>*0,85=51%</v>
      </c>
      <c r="G120" s="43">
        <f>Source!Y52</f>
        <v>13.72</v>
      </c>
      <c r="H120" s="42" t="str">
        <f>CONCATENATE(Source!AU52)</f>
        <v>51</v>
      </c>
      <c r="I120" s="42"/>
      <c r="J120" s="42"/>
      <c r="K120" s="42"/>
    </row>
    <row r="121" spans="1:28" x14ac:dyDescent="0.2">
      <c r="A121" s="35"/>
      <c r="B121" s="35"/>
      <c r="C121" s="41" t="s">
        <v>445</v>
      </c>
      <c r="D121" s="42"/>
      <c r="E121" s="43">
        <f>((Source!AF52+Source!AE52)*Source!FX52/100)+((Source!AF52+Source!AE52)*Source!FY52/100)+Source!AB52</f>
        <v>48.252800000000001</v>
      </c>
      <c r="F121" s="42"/>
      <c r="G121" s="43">
        <f>Source!O52+Source!X52+Source!Y52</f>
        <v>241.27</v>
      </c>
      <c r="H121" s="42"/>
      <c r="I121" s="42"/>
      <c r="J121" s="42"/>
      <c r="K121" s="42"/>
    </row>
    <row r="122" spans="1:28" ht="42.75" x14ac:dyDescent="0.2">
      <c r="A122" s="36" t="str">
        <f>Source!E53</f>
        <v>7</v>
      </c>
      <c r="B122" s="36" t="str">
        <f>Source!F53</f>
        <v>м08-02-363-2</v>
      </c>
      <c r="C122" s="37" t="str">
        <f>Source!G53</f>
        <v>Кронштейны специальные на опорах для светильников сварные металлические, количество рожков: 2</v>
      </c>
      <c r="D122" s="38">
        <f>Source!I53</f>
        <v>5</v>
      </c>
      <c r="E122" s="39">
        <f>Source!AB53</f>
        <v>231.01</v>
      </c>
      <c r="F122" s="39">
        <f>Source!AD53</f>
        <v>182.49</v>
      </c>
      <c r="G122" s="39">
        <f>Source!O53</f>
        <v>1155.05</v>
      </c>
      <c r="H122" s="39">
        <f>Source!S53</f>
        <v>144.5</v>
      </c>
      <c r="I122" s="39">
        <f>Source!Q53</f>
        <v>912.45</v>
      </c>
      <c r="J122" s="39">
        <f>Source!AH53</f>
        <v>3.64</v>
      </c>
      <c r="K122" s="39">
        <f>Source!U53</f>
        <v>18.2</v>
      </c>
      <c r="T122">
        <f>Source!O53+Source!X53+Source!Y53</f>
        <v>1520.98</v>
      </c>
      <c r="U122">
        <f>Source!P53</f>
        <v>98.1</v>
      </c>
      <c r="V122">
        <f>Source!S53</f>
        <v>144.5</v>
      </c>
      <c r="W122">
        <f>Source!Q53</f>
        <v>912.45</v>
      </c>
      <c r="X122">
        <f>Source!R53</f>
        <v>84.2</v>
      </c>
      <c r="Y122">
        <f>Source!U53</f>
        <v>18.2</v>
      </c>
      <c r="Z122">
        <f>Source!V53</f>
        <v>6.35</v>
      </c>
      <c r="AA122">
        <f>Source!X53</f>
        <v>217.27</v>
      </c>
      <c r="AB122">
        <f>Source!Y53</f>
        <v>148.66</v>
      </c>
    </row>
    <row r="123" spans="1:28" ht="14.25" x14ac:dyDescent="0.2">
      <c r="A123" s="35"/>
      <c r="B123" s="35"/>
      <c r="C123" s="40" t="str">
        <f>Source!H53</f>
        <v>1  ШТ.</v>
      </c>
      <c r="D123" s="38"/>
      <c r="E123" s="39">
        <f>Source!AF53</f>
        <v>28.9</v>
      </c>
      <c r="F123" s="39">
        <f>Source!AE53</f>
        <v>16.84</v>
      </c>
      <c r="G123" s="39"/>
      <c r="H123" s="39"/>
      <c r="I123" s="39">
        <f>Source!R53</f>
        <v>84.2</v>
      </c>
      <c r="J123" s="39">
        <f>Source!AI53</f>
        <v>1.27</v>
      </c>
      <c r="K123" s="39">
        <f>Source!V53</f>
        <v>6.35</v>
      </c>
    </row>
    <row r="124" spans="1:28" x14ac:dyDescent="0.2">
      <c r="A124" s="35"/>
      <c r="B124" s="35"/>
      <c r="C124" s="41" t="s">
        <v>443</v>
      </c>
      <c r="D124" s="42">
        <f>Source!BZ53</f>
        <v>95</v>
      </c>
      <c r="E124" s="43">
        <f>(Source!AF53+Source!AE53)*Source!FX53/100</f>
        <v>43.452999999999996</v>
      </c>
      <c r="F124" s="42"/>
      <c r="G124" s="43">
        <f>Source!X53</f>
        <v>217.27</v>
      </c>
      <c r="H124" s="42" t="str">
        <f>CONCATENATE(Source!AT53)</f>
        <v>95</v>
      </c>
      <c r="I124" s="42"/>
      <c r="J124" s="42"/>
      <c r="K124" s="42"/>
    </row>
    <row r="125" spans="1:28" x14ac:dyDescent="0.2">
      <c r="A125" s="35"/>
      <c r="B125" s="35"/>
      <c r="C125" s="41" t="s">
        <v>444</v>
      </c>
      <c r="D125" s="42">
        <f>Source!CA53</f>
        <v>65</v>
      </c>
      <c r="E125" s="43">
        <f>(Source!AF53+Source!AE53)*Source!FY53/100</f>
        <v>29.730999999999995</v>
      </c>
      <c r="F125" s="42"/>
      <c r="G125" s="43">
        <f>Source!Y53</f>
        <v>148.66</v>
      </c>
      <c r="H125" s="42" t="str">
        <f>CONCATENATE(Source!AU53)</f>
        <v>65</v>
      </c>
      <c r="I125" s="42"/>
      <c r="J125" s="42"/>
      <c r="K125" s="42"/>
    </row>
    <row r="126" spans="1:28" x14ac:dyDescent="0.2">
      <c r="A126" s="35"/>
      <c r="B126" s="35"/>
      <c r="C126" s="41" t="s">
        <v>445</v>
      </c>
      <c r="D126" s="42"/>
      <c r="E126" s="43">
        <f>((Source!AF53+Source!AE53)*Source!FX53/100)+((Source!AF53+Source!AE53)*Source!FY53/100)+Source!AB53</f>
        <v>304.19399999999996</v>
      </c>
      <c r="F126" s="42"/>
      <c r="G126" s="43">
        <f>Source!O53+Source!X53+Source!Y53</f>
        <v>1520.98</v>
      </c>
      <c r="H126" s="42"/>
      <c r="I126" s="42"/>
      <c r="J126" s="42"/>
      <c r="K126" s="42"/>
    </row>
    <row r="127" spans="1:28" ht="57" x14ac:dyDescent="0.2">
      <c r="A127" s="36" t="str">
        <f>Source!E54</f>
        <v>7,1</v>
      </c>
      <c r="B127" s="36" t="str">
        <f>Source!F54</f>
        <v>201-1428</v>
      </c>
      <c r="C127" s="37" t="str">
        <f>Source!G54</f>
        <v>Кронштейн для консольных и подвесных светильников, серия 1 (Стандарт), марка 1.К2-1,0-1,0-/180-Ф1-ц (ТАНС.41.256.000)</v>
      </c>
      <c r="D127" s="38">
        <f>Source!I54</f>
        <v>5</v>
      </c>
      <c r="E127" s="39">
        <f>Source!AB54</f>
        <v>723.36</v>
      </c>
      <c r="F127" s="39">
        <f>Source!AD54</f>
        <v>0</v>
      </c>
      <c r="G127" s="39">
        <f>Source!O54</f>
        <v>3616.8</v>
      </c>
      <c r="H127" s="39">
        <f>Source!S54</f>
        <v>0</v>
      </c>
      <c r="I127" s="39">
        <f>Source!Q54</f>
        <v>0</v>
      </c>
      <c r="J127" s="39">
        <f>Source!AH54</f>
        <v>0</v>
      </c>
      <c r="K127" s="39">
        <f>Source!U54</f>
        <v>0</v>
      </c>
      <c r="T127">
        <f>Source!O54+Source!X54+Source!Y54</f>
        <v>3616.8</v>
      </c>
      <c r="U127">
        <f>Source!P54</f>
        <v>3616.8</v>
      </c>
      <c r="V127">
        <f>Source!S54</f>
        <v>0</v>
      </c>
      <c r="W127">
        <f>Source!Q54</f>
        <v>0</v>
      </c>
      <c r="X127">
        <f>Source!R54</f>
        <v>0</v>
      </c>
      <c r="Y127">
        <f>Source!U54</f>
        <v>0</v>
      </c>
      <c r="Z127">
        <f>Source!V54</f>
        <v>0</v>
      </c>
      <c r="AA127">
        <f>Source!X54</f>
        <v>0</v>
      </c>
      <c r="AB127">
        <f>Source!Y54</f>
        <v>0</v>
      </c>
    </row>
    <row r="128" spans="1:28" ht="14.25" x14ac:dyDescent="0.2">
      <c r="A128" s="35"/>
      <c r="B128" s="35"/>
      <c r="C128" s="40" t="str">
        <f>Source!H54</f>
        <v>шт.</v>
      </c>
      <c r="D128" s="38"/>
      <c r="E128" s="39">
        <f>Source!AF54</f>
        <v>0</v>
      </c>
      <c r="F128" s="39">
        <f>Source!AE54</f>
        <v>0</v>
      </c>
      <c r="G128" s="39"/>
      <c r="H128" s="39"/>
      <c r="I128" s="39">
        <f>Source!R54</f>
        <v>0</v>
      </c>
      <c r="J128" s="39">
        <f>Source!AI54</f>
        <v>0</v>
      </c>
      <c r="K128" s="39">
        <f>Source!V54</f>
        <v>0</v>
      </c>
    </row>
    <row r="129" spans="1:28" ht="85.5" x14ac:dyDescent="0.2">
      <c r="A129" s="36" t="str">
        <f>Source!E55</f>
        <v>7,2</v>
      </c>
      <c r="B129" s="36" t="str">
        <f>Source!F55</f>
        <v>501-8235</v>
      </c>
      <c r="C129" s="37" t="str">
        <f>Source!G55</f>
        <v>Кабель силовой с медными жилами с поливинилхлоридной изоляцией в поливинилхлоридной оболочке без защитного покрова ВВГ, напряжением 1,00 Кв, число жил - 3 и сечением 1,5 мм2</v>
      </c>
      <c r="D129" s="38">
        <f>Source!I55</f>
        <v>1.5299999999999999E-2</v>
      </c>
      <c r="E129" s="39">
        <f>Source!AB55</f>
        <v>3428.99</v>
      </c>
      <c r="F129" s="39">
        <f>Source!AD55</f>
        <v>0</v>
      </c>
      <c r="G129" s="39">
        <f>Source!O55</f>
        <v>52.46</v>
      </c>
      <c r="H129" s="39">
        <f>Source!S55</f>
        <v>0</v>
      </c>
      <c r="I129" s="39">
        <f>Source!Q55</f>
        <v>0</v>
      </c>
      <c r="J129" s="39">
        <f>Source!AH55</f>
        <v>0</v>
      </c>
      <c r="K129" s="39">
        <f>Source!U55</f>
        <v>0</v>
      </c>
      <c r="T129">
        <f>Source!O55+Source!X55+Source!Y55</f>
        <v>52.46</v>
      </c>
      <c r="U129">
        <f>Source!P55</f>
        <v>52.46</v>
      </c>
      <c r="V129">
        <f>Source!S55</f>
        <v>0</v>
      </c>
      <c r="W129">
        <f>Source!Q55</f>
        <v>0</v>
      </c>
      <c r="X129">
        <f>Source!R55</f>
        <v>0</v>
      </c>
      <c r="Y129">
        <f>Source!U55</f>
        <v>0</v>
      </c>
      <c r="Z129">
        <f>Source!V55</f>
        <v>0</v>
      </c>
      <c r="AA129">
        <f>Source!X55</f>
        <v>0</v>
      </c>
      <c r="AB129">
        <f>Source!Y55</f>
        <v>0</v>
      </c>
    </row>
    <row r="130" spans="1:28" ht="14.25" x14ac:dyDescent="0.2">
      <c r="A130" s="35"/>
      <c r="B130" s="35"/>
      <c r="C130" s="40" t="str">
        <f>Source!H55</f>
        <v>1000 м</v>
      </c>
      <c r="D130" s="38"/>
      <c r="E130" s="39">
        <f>Source!AF55</f>
        <v>0</v>
      </c>
      <c r="F130" s="39">
        <f>Source!AE55</f>
        <v>0</v>
      </c>
      <c r="G130" s="39"/>
      <c r="H130" s="39"/>
      <c r="I130" s="39">
        <f>Source!R55</f>
        <v>0</v>
      </c>
      <c r="J130" s="39">
        <f>Source!AI55</f>
        <v>0</v>
      </c>
      <c r="K130" s="39">
        <f>Source!V55</f>
        <v>0</v>
      </c>
    </row>
    <row r="131" spans="1:28" ht="28.5" x14ac:dyDescent="0.2">
      <c r="A131" s="36" t="str">
        <f>Source!E56</f>
        <v>8</v>
      </c>
      <c r="B131" s="36" t="str">
        <f>Source!F56</f>
        <v>м08-02-369-3</v>
      </c>
      <c r="C131" s="37" t="str">
        <f>Source!G56</f>
        <v>Светильник, устанавливаемый вне зданий с лампами: ртутными</v>
      </c>
      <c r="D131" s="38">
        <f>Source!I56</f>
        <v>10</v>
      </c>
      <c r="E131" s="39">
        <f>Source!AB56</f>
        <v>104</v>
      </c>
      <c r="F131" s="39">
        <f>Source!AD56</f>
        <v>45.73</v>
      </c>
      <c r="G131" s="39">
        <f>Source!O56</f>
        <v>1040</v>
      </c>
      <c r="H131" s="39">
        <f>Source!S56</f>
        <v>124.7</v>
      </c>
      <c r="I131" s="39">
        <f>Source!Q56</f>
        <v>457.3</v>
      </c>
      <c r="J131" s="39">
        <f>Source!AH56</f>
        <v>1.46</v>
      </c>
      <c r="K131" s="39">
        <f>Source!U56</f>
        <v>14.6</v>
      </c>
      <c r="T131">
        <f>Source!O56+Source!X56+Source!Y56</f>
        <v>1305.28</v>
      </c>
      <c r="U131">
        <f>Source!P56</f>
        <v>458</v>
      </c>
      <c r="V131">
        <f>Source!S56</f>
        <v>124.7</v>
      </c>
      <c r="W131">
        <f>Source!Q56</f>
        <v>457.3</v>
      </c>
      <c r="X131">
        <f>Source!R56</f>
        <v>41.1</v>
      </c>
      <c r="Y131">
        <f>Source!U56</f>
        <v>14.6</v>
      </c>
      <c r="Z131">
        <f>Source!V56</f>
        <v>3.1</v>
      </c>
      <c r="AA131">
        <f>Source!X56</f>
        <v>157.51</v>
      </c>
      <c r="AB131">
        <f>Source!Y56</f>
        <v>107.77</v>
      </c>
    </row>
    <row r="132" spans="1:28" ht="14.25" x14ac:dyDescent="0.2">
      <c r="A132" s="35"/>
      <c r="B132" s="35"/>
      <c r="C132" s="40" t="str">
        <f>Source!H56</f>
        <v>1  ШТ.</v>
      </c>
      <c r="D132" s="38"/>
      <c r="E132" s="39">
        <f>Source!AF56</f>
        <v>12.47</v>
      </c>
      <c r="F132" s="39">
        <f>Source!AE56</f>
        <v>4.1100000000000003</v>
      </c>
      <c r="G132" s="39"/>
      <c r="H132" s="39"/>
      <c r="I132" s="39">
        <f>Source!R56</f>
        <v>41.1</v>
      </c>
      <c r="J132" s="39">
        <f>Source!AI56</f>
        <v>0.31</v>
      </c>
      <c r="K132" s="39">
        <f>Source!V56</f>
        <v>3.1</v>
      </c>
    </row>
    <row r="133" spans="1:28" x14ac:dyDescent="0.2">
      <c r="A133" s="35"/>
      <c r="B133" s="35"/>
      <c r="C133" s="41" t="s">
        <v>443</v>
      </c>
      <c r="D133" s="42">
        <f>Source!BZ56</f>
        <v>95</v>
      </c>
      <c r="E133" s="43">
        <f>(Source!AF56+Source!AE56)*Source!FX56/100</f>
        <v>15.751000000000001</v>
      </c>
      <c r="F133" s="42"/>
      <c r="G133" s="43">
        <f>Source!X56</f>
        <v>157.51</v>
      </c>
      <c r="H133" s="42" t="str">
        <f>CONCATENATE(Source!AT56)</f>
        <v>95</v>
      </c>
      <c r="I133" s="42"/>
      <c r="J133" s="42"/>
      <c r="K133" s="42"/>
    </row>
    <row r="134" spans="1:28" x14ac:dyDescent="0.2">
      <c r="A134" s="35"/>
      <c r="B134" s="35"/>
      <c r="C134" s="41" t="s">
        <v>444</v>
      </c>
      <c r="D134" s="42">
        <f>Source!CA56</f>
        <v>65</v>
      </c>
      <c r="E134" s="43">
        <f>(Source!AF56+Source!AE56)*Source!FY56/100</f>
        <v>10.777000000000001</v>
      </c>
      <c r="F134" s="42"/>
      <c r="G134" s="43">
        <f>Source!Y56</f>
        <v>107.77</v>
      </c>
      <c r="H134" s="42" t="str">
        <f>CONCATENATE(Source!AU56)</f>
        <v>65</v>
      </c>
      <c r="I134" s="42"/>
      <c r="J134" s="42"/>
      <c r="K134" s="42"/>
    </row>
    <row r="135" spans="1:28" x14ac:dyDescent="0.2">
      <c r="A135" s="35"/>
      <c r="B135" s="35"/>
      <c r="C135" s="41" t="s">
        <v>445</v>
      </c>
      <c r="D135" s="42"/>
      <c r="E135" s="43">
        <f>((Source!AF56+Source!AE56)*Source!FX56/100)+((Source!AF56+Source!AE56)*Source!FY56/100)+Source!AB56</f>
        <v>130.52799999999999</v>
      </c>
      <c r="F135" s="42"/>
      <c r="G135" s="43">
        <f>Source!O56+Source!X56+Source!Y56</f>
        <v>1305.28</v>
      </c>
      <c r="H135" s="42"/>
      <c r="I135" s="42"/>
      <c r="J135" s="42"/>
      <c r="K135" s="42"/>
    </row>
    <row r="136" spans="1:28" ht="99.75" x14ac:dyDescent="0.2">
      <c r="A136" s="36" t="str">
        <f>Source!E57</f>
        <v>8,1</v>
      </c>
      <c r="B136" s="36" t="str">
        <f>Source!F57</f>
        <v>Коммерческое предложение ООО "Световые Технологии ЭСКО" от 14.02.2020г.</v>
      </c>
      <c r="C136" s="37" t="s">
        <v>453</v>
      </c>
      <c r="D136" s="38">
        <f>Source!I57</f>
        <v>10</v>
      </c>
      <c r="E136" s="39">
        <f>Source!AB57</f>
        <v>941.62</v>
      </c>
      <c r="F136" s="39">
        <f>Source!AD57</f>
        <v>0</v>
      </c>
      <c r="G136" s="39">
        <f>Source!O57</f>
        <v>9416.2000000000007</v>
      </c>
      <c r="H136" s="39">
        <f>Source!S57</f>
        <v>0</v>
      </c>
      <c r="I136" s="39">
        <f>Source!Q57</f>
        <v>0</v>
      </c>
      <c r="J136" s="39">
        <f>Source!AH57</f>
        <v>0</v>
      </c>
      <c r="K136" s="39">
        <f>Source!U57</f>
        <v>0</v>
      </c>
      <c r="T136">
        <f>Source!O57+Source!X57+Source!Y57</f>
        <v>9416.2000000000007</v>
      </c>
      <c r="U136">
        <f>Source!P57</f>
        <v>9416.2000000000007</v>
      </c>
      <c r="V136">
        <f>Source!S57</f>
        <v>0</v>
      </c>
      <c r="W136">
        <f>Source!Q57</f>
        <v>0</v>
      </c>
      <c r="X136">
        <f>Source!R57</f>
        <v>0</v>
      </c>
      <c r="Y136">
        <f>Source!U57</f>
        <v>0</v>
      </c>
      <c r="Z136">
        <f>Source!V57</f>
        <v>0</v>
      </c>
      <c r="AA136">
        <f>Source!X57</f>
        <v>0</v>
      </c>
      <c r="AB136">
        <f>Source!Y57</f>
        <v>0</v>
      </c>
    </row>
    <row r="137" spans="1:28" ht="14.25" x14ac:dyDescent="0.2">
      <c r="A137" s="35"/>
      <c r="B137" s="35"/>
      <c r="C137" s="40" t="str">
        <f>Source!H57</f>
        <v>шт.</v>
      </c>
      <c r="D137" s="38"/>
      <c r="E137" s="39">
        <f>Source!AF57</f>
        <v>0</v>
      </c>
      <c r="F137" s="39">
        <f>Source!AE57</f>
        <v>0</v>
      </c>
      <c r="G137" s="39"/>
      <c r="H137" s="39"/>
      <c r="I137" s="39">
        <f>Source!R57</f>
        <v>0</v>
      </c>
      <c r="J137" s="39">
        <f>Source!AI57</f>
        <v>0</v>
      </c>
      <c r="K137" s="39">
        <f>Source!V57</f>
        <v>0</v>
      </c>
    </row>
    <row r="138" spans="1:28" ht="57" x14ac:dyDescent="0.2">
      <c r="A138" s="36" t="str">
        <f>Source!E58</f>
        <v>8,2</v>
      </c>
      <c r="B138" s="36" t="str">
        <f>Source!F58</f>
        <v>502-0246</v>
      </c>
      <c r="C138" s="37" t="s">
        <v>454</v>
      </c>
      <c r="D138" s="38">
        <f>Source!I58</f>
        <v>-5.0000000000000001E-3</v>
      </c>
      <c r="E138" s="39">
        <f>Source!AB58</f>
        <v>89303.44</v>
      </c>
      <c r="F138" s="39">
        <f>Source!AD58</f>
        <v>0</v>
      </c>
      <c r="G138" s="39">
        <f>Source!O58</f>
        <v>-446.52</v>
      </c>
      <c r="H138" s="39">
        <f>Source!S58</f>
        <v>0</v>
      </c>
      <c r="I138" s="39">
        <f>Source!Q58</f>
        <v>0</v>
      </c>
      <c r="J138" s="39">
        <f>Source!AH58</f>
        <v>0</v>
      </c>
      <c r="K138" s="39">
        <f>Source!U58</f>
        <v>0</v>
      </c>
      <c r="T138">
        <f>Source!O58+Source!X58+Source!Y58</f>
        <v>-446.52</v>
      </c>
      <c r="U138">
        <f>Source!P58</f>
        <v>-446.52</v>
      </c>
      <c r="V138">
        <f>Source!S58</f>
        <v>0</v>
      </c>
      <c r="W138">
        <f>Source!Q58</f>
        <v>0</v>
      </c>
      <c r="X138">
        <f>Source!R58</f>
        <v>0</v>
      </c>
      <c r="Y138">
        <f>Source!U58</f>
        <v>0</v>
      </c>
      <c r="Z138">
        <f>Source!V58</f>
        <v>0</v>
      </c>
      <c r="AA138">
        <f>Source!X58</f>
        <v>0</v>
      </c>
      <c r="AB138">
        <f>Source!Y58</f>
        <v>0</v>
      </c>
    </row>
    <row r="139" spans="1:28" ht="14.25" x14ac:dyDescent="0.2">
      <c r="A139" s="35"/>
      <c r="B139" s="35"/>
      <c r="C139" s="40" t="str">
        <f>Source!H58</f>
        <v>т</v>
      </c>
      <c r="D139" s="38"/>
      <c r="E139" s="39">
        <f>Source!AF58</f>
        <v>0</v>
      </c>
      <c r="F139" s="39">
        <f>Source!AE58</f>
        <v>0</v>
      </c>
      <c r="G139" s="39"/>
      <c r="H139" s="39"/>
      <c r="I139" s="39">
        <f>Source!R58</f>
        <v>0</v>
      </c>
      <c r="J139" s="39">
        <f>Source!AI58</f>
        <v>0</v>
      </c>
      <c r="K139" s="39">
        <f>Source!V58</f>
        <v>0</v>
      </c>
    </row>
    <row r="140" spans="1:28" ht="42.75" x14ac:dyDescent="0.2">
      <c r="A140" s="36" t="str">
        <f>Source!E59</f>
        <v>9</v>
      </c>
      <c r="B140" s="36" t="str">
        <f>Source!F59</f>
        <v>33-04-030-1</v>
      </c>
      <c r="C140" s="37" t="str">
        <f>Source!G59</f>
        <v>Установка разрядников: с помощью механизмов (ограничитель перенапряжения)</v>
      </c>
      <c r="D140" s="38">
        <f>Source!I59</f>
        <v>0.66659999999999997</v>
      </c>
      <c r="E140" s="39">
        <f>Source!AB59</f>
        <v>163.43</v>
      </c>
      <c r="F140" s="39">
        <f>Source!AD59</f>
        <v>125.09</v>
      </c>
      <c r="G140" s="39">
        <f>Source!O59</f>
        <v>108.94</v>
      </c>
      <c r="H140" s="39">
        <f>Source!S59</f>
        <v>23.71</v>
      </c>
      <c r="I140" s="39">
        <f>Source!Q59</f>
        <v>83.38</v>
      </c>
      <c r="J140" s="39">
        <f>Source!AH59</f>
        <v>4.9334999999999996</v>
      </c>
      <c r="K140" s="39">
        <f>Source!U59</f>
        <v>3.2886710999999997</v>
      </c>
      <c r="T140">
        <f>Source!O59+Source!X59+Source!Y59</f>
        <v>158.39999999999998</v>
      </c>
      <c r="U140">
        <f>Source!P59</f>
        <v>1.85</v>
      </c>
      <c r="V140">
        <f>Source!S59</f>
        <v>23.71</v>
      </c>
      <c r="W140">
        <f>Source!Q59</f>
        <v>83.38</v>
      </c>
      <c r="X140">
        <f>Source!R59</f>
        <v>7.99</v>
      </c>
      <c r="Y140">
        <f>Source!U59</f>
        <v>3.2886710999999997</v>
      </c>
      <c r="Z140">
        <f>Source!V59</f>
        <v>0.80825249999999993</v>
      </c>
      <c r="AA140">
        <f>Source!X59</f>
        <v>33.29</v>
      </c>
      <c r="AB140">
        <f>Source!Y59</f>
        <v>16.170000000000002</v>
      </c>
    </row>
    <row r="141" spans="1:28" ht="14.25" x14ac:dyDescent="0.2">
      <c r="A141" s="35"/>
      <c r="B141" s="35"/>
      <c r="C141" s="40" t="str">
        <f>Source!H59</f>
        <v>1 КОМПЛ.</v>
      </c>
      <c r="D141" s="38"/>
      <c r="E141" s="39">
        <f>Source!AF59</f>
        <v>35.57</v>
      </c>
      <c r="F141" s="39">
        <f>Source!AE59</f>
        <v>11.98</v>
      </c>
      <c r="G141" s="39"/>
      <c r="H141" s="39"/>
      <c r="I141" s="39">
        <f>Source!R59</f>
        <v>7.99</v>
      </c>
      <c r="J141" s="39">
        <f>Source!AI59</f>
        <v>1.2124999999999999</v>
      </c>
      <c r="K141" s="39">
        <f>Source!V59</f>
        <v>0.80825249999999993</v>
      </c>
    </row>
    <row r="142" spans="1:28" x14ac:dyDescent="0.2">
      <c r="A142" s="35"/>
      <c r="B142" s="35"/>
      <c r="C142" s="48" t="s">
        <v>437</v>
      </c>
      <c r="D142" s="55" t="s">
        <v>152</v>
      </c>
      <c r="E142" s="55"/>
      <c r="F142" s="55"/>
      <c r="G142" s="55"/>
      <c r="H142" s="55"/>
      <c r="I142" s="55"/>
      <c r="J142" s="55"/>
      <c r="K142" s="55"/>
    </row>
    <row r="143" spans="1:28" x14ac:dyDescent="0.2">
      <c r="A143" s="35"/>
      <c r="B143" s="35"/>
      <c r="C143" s="48" t="s">
        <v>438</v>
      </c>
      <c r="D143" s="55" t="s">
        <v>152</v>
      </c>
      <c r="E143" s="55"/>
      <c r="F143" s="55"/>
      <c r="G143" s="55"/>
      <c r="H143" s="55"/>
      <c r="I143" s="55"/>
      <c r="J143" s="55"/>
      <c r="K143" s="55"/>
    </row>
    <row r="144" spans="1:28" x14ac:dyDescent="0.2">
      <c r="A144" s="35"/>
      <c r="B144" s="35"/>
      <c r="C144" s="48" t="s">
        <v>439</v>
      </c>
      <c r="D144" s="55" t="s">
        <v>153</v>
      </c>
      <c r="E144" s="55"/>
      <c r="F144" s="55"/>
      <c r="G144" s="55"/>
      <c r="H144" s="55"/>
      <c r="I144" s="55"/>
      <c r="J144" s="55"/>
      <c r="K144" s="55"/>
    </row>
    <row r="145" spans="1:28" x14ac:dyDescent="0.2">
      <c r="A145" s="35"/>
      <c r="B145" s="35"/>
      <c r="C145" s="48" t="s">
        <v>440</v>
      </c>
      <c r="D145" s="55" t="s">
        <v>153</v>
      </c>
      <c r="E145" s="55"/>
      <c r="F145" s="55"/>
      <c r="G145" s="55"/>
      <c r="H145" s="55"/>
      <c r="I145" s="55"/>
      <c r="J145" s="55"/>
      <c r="K145" s="55"/>
    </row>
    <row r="146" spans="1:28" x14ac:dyDescent="0.2">
      <c r="A146" s="35"/>
      <c r="B146" s="35"/>
      <c r="C146" s="48" t="s">
        <v>441</v>
      </c>
      <c r="D146" s="55" t="s">
        <v>152</v>
      </c>
      <c r="E146" s="55"/>
      <c r="F146" s="55"/>
      <c r="G146" s="55"/>
      <c r="H146" s="55"/>
      <c r="I146" s="55"/>
      <c r="J146" s="55"/>
      <c r="K146" s="55"/>
    </row>
    <row r="147" spans="1:28" x14ac:dyDescent="0.2">
      <c r="A147" s="35"/>
      <c r="B147" s="35"/>
      <c r="C147" s="48" t="s">
        <v>442</v>
      </c>
      <c r="D147" s="55" t="s">
        <v>25</v>
      </c>
      <c r="E147" s="55"/>
      <c r="F147" s="55"/>
      <c r="G147" s="55"/>
      <c r="H147" s="55"/>
      <c r="I147" s="55"/>
      <c r="J147" s="55"/>
      <c r="K147" s="55"/>
    </row>
    <row r="148" spans="1:28" x14ac:dyDescent="0.2">
      <c r="A148" s="35"/>
      <c r="B148" s="35"/>
      <c r="C148" s="41" t="s">
        <v>443</v>
      </c>
      <c r="D148" s="42">
        <f>Source!BZ59</f>
        <v>105</v>
      </c>
      <c r="E148" s="43">
        <f>(Source!AF59+Source!AE59)*Source!FX59/100</f>
        <v>49.927500000000002</v>
      </c>
      <c r="F148" s="42"/>
      <c r="G148" s="43">
        <f>Source!X59</f>
        <v>33.29</v>
      </c>
      <c r="H148" s="42" t="str">
        <f>CONCATENATE(Source!AT59)</f>
        <v>105</v>
      </c>
      <c r="I148" s="42"/>
      <c r="J148" s="42"/>
      <c r="K148" s="42"/>
    </row>
    <row r="149" spans="1:28" x14ac:dyDescent="0.2">
      <c r="A149" s="35"/>
      <c r="B149" s="35"/>
      <c r="C149" s="41" t="s">
        <v>444</v>
      </c>
      <c r="D149" s="42">
        <f>Source!CA59</f>
        <v>60</v>
      </c>
      <c r="E149" s="43">
        <f>(Source!AF59+Source!AE59)*Source!FY59/100</f>
        <v>24.250499999999999</v>
      </c>
      <c r="F149" s="42" t="str">
        <f>CONCATENATE(Source!DM59,Source!FU59, "=", Source!FY59, "%")</f>
        <v>*0,85=51%</v>
      </c>
      <c r="G149" s="43">
        <f>Source!Y59</f>
        <v>16.170000000000002</v>
      </c>
      <c r="H149" s="42" t="str">
        <f>CONCATENATE(Source!AU59)</f>
        <v>51</v>
      </c>
      <c r="I149" s="42"/>
      <c r="J149" s="42"/>
      <c r="K149" s="42"/>
    </row>
    <row r="150" spans="1:28" x14ac:dyDescent="0.2">
      <c r="A150" s="35"/>
      <c r="B150" s="35"/>
      <c r="C150" s="41" t="s">
        <v>445</v>
      </c>
      <c r="D150" s="42"/>
      <c r="E150" s="43">
        <f>((Source!AF59+Source!AE59)*Source!FX59/100)+((Source!AF59+Source!AE59)*Source!FY59/100)+Source!AB59</f>
        <v>237.608</v>
      </c>
      <c r="F150" s="42"/>
      <c r="G150" s="43">
        <f>Source!O59+Source!X59+Source!Y59</f>
        <v>158.39999999999998</v>
      </c>
      <c r="H150" s="42"/>
      <c r="I150" s="42"/>
      <c r="J150" s="42"/>
      <c r="K150" s="42"/>
    </row>
    <row r="151" spans="1:28" ht="14.25" x14ac:dyDescent="0.2">
      <c r="A151" s="36" t="str">
        <f>Source!E60</f>
        <v>9,1</v>
      </c>
      <c r="B151" s="36" t="str">
        <f>Source!F60</f>
        <v>509-8262</v>
      </c>
      <c r="C151" s="37" t="str">
        <f>Source!G60</f>
        <v>Ограничитель напряжения до 1 кВ</v>
      </c>
      <c r="D151" s="38">
        <f>Source!I60</f>
        <v>2</v>
      </c>
      <c r="E151" s="39">
        <f>Source!AB60</f>
        <v>51.33</v>
      </c>
      <c r="F151" s="39">
        <f>Source!AD60</f>
        <v>0</v>
      </c>
      <c r="G151" s="39">
        <f>Source!O60</f>
        <v>102.66</v>
      </c>
      <c r="H151" s="39">
        <f>Source!S60</f>
        <v>0</v>
      </c>
      <c r="I151" s="39">
        <f>Source!Q60</f>
        <v>0</v>
      </c>
      <c r="J151" s="39">
        <f>Source!AH60</f>
        <v>0</v>
      </c>
      <c r="K151" s="39">
        <f>Source!U60</f>
        <v>0</v>
      </c>
      <c r="T151">
        <f>Source!O60+Source!X60+Source!Y60</f>
        <v>102.66</v>
      </c>
      <c r="U151">
        <f>Source!P60</f>
        <v>102.66</v>
      </c>
      <c r="V151">
        <f>Source!S60</f>
        <v>0</v>
      </c>
      <c r="W151">
        <f>Source!Q60</f>
        <v>0</v>
      </c>
      <c r="X151">
        <f>Source!R60</f>
        <v>0</v>
      </c>
      <c r="Y151">
        <f>Source!U60</f>
        <v>0</v>
      </c>
      <c r="Z151">
        <f>Source!V60</f>
        <v>0</v>
      </c>
      <c r="AA151">
        <f>Source!X60</f>
        <v>0</v>
      </c>
      <c r="AB151">
        <f>Source!Y60</f>
        <v>0</v>
      </c>
    </row>
    <row r="152" spans="1:28" ht="14.25" x14ac:dyDescent="0.2">
      <c r="A152" s="35"/>
      <c r="B152" s="35"/>
      <c r="C152" s="40" t="str">
        <f>Source!H60</f>
        <v>шт.</v>
      </c>
      <c r="D152" s="38"/>
      <c r="E152" s="39">
        <f>Source!AF60</f>
        <v>0</v>
      </c>
      <c r="F152" s="39">
        <f>Source!AE60</f>
        <v>0</v>
      </c>
      <c r="G152" s="39"/>
      <c r="H152" s="39"/>
      <c r="I152" s="39">
        <f>Source!R60</f>
        <v>0</v>
      </c>
      <c r="J152" s="39">
        <f>Source!AI60</f>
        <v>0</v>
      </c>
      <c r="K152" s="39">
        <f>Source!V60</f>
        <v>0</v>
      </c>
    </row>
    <row r="153" spans="1:28" x14ac:dyDescent="0.2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</row>
    <row r="154" spans="1:28" x14ac:dyDescent="0.2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</row>
    <row r="155" spans="1:28" ht="15" x14ac:dyDescent="0.25">
      <c r="A155" s="44"/>
      <c r="B155" s="44"/>
      <c r="C155" s="51" t="str">
        <f>CONCATENATE("Итого по локальной смете: ",IF(Source!G125&lt;&gt;"Новая локальная смета", Source!G125, ""))</f>
        <v xml:space="preserve">Итого по локальной смете: </v>
      </c>
      <c r="D155" s="51"/>
      <c r="E155" s="51"/>
      <c r="F155" s="51"/>
      <c r="G155" s="45">
        <f>IF(SUM(T23:T154)=0, "-", SUM(T23:T154))</f>
        <v>29418.229999999996</v>
      </c>
      <c r="H155" s="45">
        <f>IF(SUM(V23:V154)=0, "-", SUM(V23:V154))</f>
        <v>615.58000000000004</v>
      </c>
      <c r="I155" s="45">
        <f>IF(SUM(W23:W154)=0, "-", SUM(W23:W154))</f>
        <v>3125.1600000000003</v>
      </c>
      <c r="J155" s="45"/>
      <c r="K155" s="45">
        <f>IF(SUM(Y23:Y154)=0, "-", SUM(Y23:Y154))</f>
        <v>80.954265100000001</v>
      </c>
    </row>
    <row r="156" spans="1:28" ht="15" x14ac:dyDescent="0.25">
      <c r="A156" s="44"/>
      <c r="B156" s="44"/>
      <c r="C156" s="44"/>
      <c r="D156" s="44"/>
      <c r="E156" s="44"/>
      <c r="F156" s="44"/>
      <c r="G156" s="45"/>
      <c r="H156" s="45"/>
      <c r="I156" s="45">
        <f>IF(SUM(X23:X154)=0, "-", SUM(X23:X154))</f>
        <v>297.93000000000006</v>
      </c>
      <c r="J156" s="45"/>
      <c r="K156" s="45">
        <f>IF(SUM(Z23:Z154)=0, "-", SUM(Z23:Z154))</f>
        <v>24.538777499999998</v>
      </c>
    </row>
    <row r="157" spans="1:28" x14ac:dyDescent="0.2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</row>
    <row r="158" spans="1:28" x14ac:dyDescent="0.2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</row>
    <row r="159" spans="1:28" ht="14.25" x14ac:dyDescent="0.2">
      <c r="A159" s="35"/>
      <c r="B159" s="35"/>
      <c r="C159" s="53" t="str">
        <f>Source!H150</f>
        <v>Перевозка грузов</v>
      </c>
      <c r="D159" s="53"/>
      <c r="E159" s="53"/>
      <c r="F159" s="53"/>
      <c r="G159" s="53"/>
      <c r="H159" s="54" t="str">
        <f>IF(Source!F150=0, "", Source!F150)</f>
        <v/>
      </c>
      <c r="I159" s="54"/>
      <c r="J159" s="35"/>
      <c r="K159" s="35"/>
    </row>
    <row r="160" spans="1:28" ht="14.25" x14ac:dyDescent="0.2">
      <c r="A160" s="35"/>
      <c r="B160" s="35"/>
      <c r="C160" s="53" t="str">
        <f>Source!H151</f>
        <v>Накладные расходы</v>
      </c>
      <c r="D160" s="53"/>
      <c r="E160" s="53"/>
      <c r="F160" s="53"/>
      <c r="G160" s="53"/>
      <c r="H160" s="54">
        <f>IF(Source!F151=0, "", Source!F151)</f>
        <v>919.75</v>
      </c>
      <c r="I160" s="54"/>
      <c r="J160" s="35"/>
      <c r="K160" s="35"/>
    </row>
    <row r="161" spans="1:11" ht="14.25" x14ac:dyDescent="0.2">
      <c r="A161" s="35"/>
      <c r="B161" s="35"/>
      <c r="C161" s="53" t="str">
        <f>Source!H152</f>
        <v>Сметная прибыль</v>
      </c>
      <c r="D161" s="53"/>
      <c r="E161" s="53"/>
      <c r="F161" s="53"/>
      <c r="G161" s="53"/>
      <c r="H161" s="54">
        <f>IF(Source!F152=0, "", Source!F152)</f>
        <v>521.14</v>
      </c>
      <c r="I161" s="54"/>
      <c r="J161" s="35"/>
      <c r="K161" s="35"/>
    </row>
    <row r="162" spans="1:11" ht="14.25" x14ac:dyDescent="0.2">
      <c r="A162" s="35"/>
      <c r="B162" s="35"/>
      <c r="C162" s="53" t="str">
        <f>Source!H153</f>
        <v>Всего с НР и СП</v>
      </c>
      <c r="D162" s="53"/>
      <c r="E162" s="53"/>
      <c r="F162" s="53"/>
      <c r="G162" s="53"/>
      <c r="H162" s="54">
        <f>IF(Source!F153=0, "", Source!F153)</f>
        <v>29418.23</v>
      </c>
      <c r="I162" s="54"/>
      <c r="J162" s="35"/>
      <c r="K162" s="35"/>
    </row>
    <row r="163" spans="1:11" s="47" customFormat="1" ht="15" x14ac:dyDescent="0.25">
      <c r="A163" s="46"/>
      <c r="B163" s="46"/>
      <c r="C163" s="51" t="str">
        <f>Source!H154</f>
        <v>Индекс на 3 квартал 2020г. -8,21</v>
      </c>
      <c r="D163" s="51"/>
      <c r="E163" s="51"/>
      <c r="F163" s="51"/>
      <c r="G163" s="51"/>
      <c r="H163" s="52">
        <f>IF(Source!F154=0, "", Source!F154)</f>
        <v>241523.67</v>
      </c>
      <c r="I163" s="52"/>
      <c r="J163" s="46"/>
      <c r="K163" s="46"/>
    </row>
    <row r="164" spans="1:11" s="47" customFormat="1" ht="15" x14ac:dyDescent="0.25">
      <c r="A164" s="46"/>
      <c r="B164" s="46"/>
      <c r="C164" s="51" t="str">
        <f>Source!H155</f>
        <v>НДС 20%</v>
      </c>
      <c r="D164" s="51"/>
      <c r="E164" s="51"/>
      <c r="F164" s="51"/>
      <c r="G164" s="51"/>
      <c r="H164" s="52">
        <f>IF(Source!F155=0, "", Source!F155)</f>
        <v>48304.73</v>
      </c>
      <c r="I164" s="52"/>
      <c r="J164" s="46"/>
      <c r="K164" s="46"/>
    </row>
    <row r="165" spans="1:11" s="47" customFormat="1" ht="15" x14ac:dyDescent="0.25">
      <c r="A165" s="46"/>
      <c r="B165" s="46"/>
      <c r="C165" s="51" t="str">
        <f>Source!H156</f>
        <v>Всего по смете</v>
      </c>
      <c r="D165" s="51"/>
      <c r="E165" s="51"/>
      <c r="F165" s="51"/>
      <c r="G165" s="51"/>
      <c r="H165" s="52">
        <f>IF(Source!F156=0, "", Source!F156)</f>
        <v>289828.40000000002</v>
      </c>
      <c r="I165" s="52"/>
      <c r="J165" s="46"/>
      <c r="K165" s="46"/>
    </row>
    <row r="166" spans="1:11" x14ac:dyDescent="0.2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</row>
    <row r="170" spans="1:11" ht="14.25" x14ac:dyDescent="0.2">
      <c r="A170" s="49" t="s">
        <v>455</v>
      </c>
      <c r="B170" s="49"/>
      <c r="C170" s="11" t="str">
        <f>IF(Source!AC12&lt;&gt;"", Source!AC12," ")</f>
        <v xml:space="preserve"> </v>
      </c>
      <c r="D170" s="12"/>
      <c r="E170" s="12"/>
      <c r="F170" s="12"/>
      <c r="G170" s="12"/>
      <c r="H170" s="12"/>
      <c r="I170" s="9" t="str">
        <f>IF(Source!AB12&lt;&gt;"", Source!AB12," ")</f>
        <v xml:space="preserve"> </v>
      </c>
      <c r="J170" s="8"/>
      <c r="K170" s="8"/>
    </row>
    <row r="171" spans="1:11" ht="14.25" x14ac:dyDescent="0.2">
      <c r="A171" s="8"/>
      <c r="B171" s="8"/>
      <c r="C171" s="50" t="s">
        <v>456</v>
      </c>
      <c r="D171" s="50"/>
      <c r="E171" s="50"/>
      <c r="F171" s="50"/>
      <c r="G171" s="50"/>
      <c r="H171" s="50"/>
      <c r="I171" s="8"/>
      <c r="J171" s="8"/>
      <c r="K171" s="8"/>
    </row>
    <row r="172" spans="1:11" ht="14.25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</row>
    <row r="173" spans="1:11" ht="14.25" x14ac:dyDescent="0.2">
      <c r="A173" s="49" t="s">
        <v>457</v>
      </c>
      <c r="B173" s="49"/>
      <c r="C173" s="11" t="str">
        <f>IF(Source!AE12&lt;&gt;"", Source!AE12," ")</f>
        <v xml:space="preserve"> </v>
      </c>
      <c r="D173" s="12"/>
      <c r="E173" s="12"/>
      <c r="F173" s="12"/>
      <c r="G173" s="12"/>
      <c r="H173" s="12"/>
      <c r="I173" s="9" t="str">
        <f>IF(Source!AD12&lt;&gt;"", Source!AD12," ")</f>
        <v xml:space="preserve"> </v>
      </c>
      <c r="J173" s="8"/>
      <c r="K173" s="8"/>
    </row>
    <row r="174" spans="1:11" ht="14.25" x14ac:dyDescent="0.2">
      <c r="A174" s="8"/>
      <c r="B174" s="8"/>
      <c r="C174" s="50" t="s">
        <v>456</v>
      </c>
      <c r="D174" s="50"/>
      <c r="E174" s="50"/>
      <c r="F174" s="50"/>
      <c r="G174" s="50"/>
      <c r="H174" s="50"/>
      <c r="I174" s="8"/>
      <c r="J174" s="8"/>
      <c r="K174" s="8"/>
    </row>
  </sheetData>
  <mergeCells count="90">
    <mergeCell ref="C9:F9"/>
    <mergeCell ref="A10:B10"/>
    <mergeCell ref="C10:K10"/>
    <mergeCell ref="A11:K11"/>
    <mergeCell ref="A6:J6"/>
    <mergeCell ref="C16:C20"/>
    <mergeCell ref="D16:D20"/>
    <mergeCell ref="E16:F16"/>
    <mergeCell ref="G16:I16"/>
    <mergeCell ref="A13:E15"/>
    <mergeCell ref="F13:H13"/>
    <mergeCell ref="I13:J13"/>
    <mergeCell ref="F14:H14"/>
    <mergeCell ref="I14:J14"/>
    <mergeCell ref="F15:H15"/>
    <mergeCell ref="I15:J15"/>
    <mergeCell ref="A23:K23"/>
    <mergeCell ref="D26:K26"/>
    <mergeCell ref="D27:K27"/>
    <mergeCell ref="D28:K28"/>
    <mergeCell ref="J16:K18"/>
    <mergeCell ref="E17:E18"/>
    <mergeCell ref="F17:F18"/>
    <mergeCell ref="G17:G20"/>
    <mergeCell ref="H17:H20"/>
    <mergeCell ref="I17:I18"/>
    <mergeCell ref="E19:E20"/>
    <mergeCell ref="F19:F20"/>
    <mergeCell ref="I19:I20"/>
    <mergeCell ref="J19:K19"/>
    <mergeCell ref="A16:A20"/>
    <mergeCell ref="B16:B20"/>
    <mergeCell ref="D50:K50"/>
    <mergeCell ref="D29:K29"/>
    <mergeCell ref="D30:K30"/>
    <mergeCell ref="D31:K31"/>
    <mergeCell ref="D37:K37"/>
    <mergeCell ref="D38:K38"/>
    <mergeCell ref="D39:K39"/>
    <mergeCell ref="D40:K40"/>
    <mergeCell ref="D41:K41"/>
    <mergeCell ref="D42:K42"/>
    <mergeCell ref="D48:K48"/>
    <mergeCell ref="D49:K49"/>
    <mergeCell ref="D98:K98"/>
    <mergeCell ref="D51:K51"/>
    <mergeCell ref="D52:K52"/>
    <mergeCell ref="D53:K53"/>
    <mergeCell ref="D62:K62"/>
    <mergeCell ref="D63:K63"/>
    <mergeCell ref="D64:K64"/>
    <mergeCell ref="D65:K65"/>
    <mergeCell ref="D66:K66"/>
    <mergeCell ref="D67:K67"/>
    <mergeCell ref="D96:K96"/>
    <mergeCell ref="D97:K97"/>
    <mergeCell ref="D144:K144"/>
    <mergeCell ref="D99:K99"/>
    <mergeCell ref="D100:K100"/>
    <mergeCell ref="D101:K101"/>
    <mergeCell ref="D113:K113"/>
    <mergeCell ref="D114:K114"/>
    <mergeCell ref="D115:K115"/>
    <mergeCell ref="D116:K116"/>
    <mergeCell ref="D117:K117"/>
    <mergeCell ref="D118:K118"/>
    <mergeCell ref="D142:K142"/>
    <mergeCell ref="D143:K143"/>
    <mergeCell ref="C155:F155"/>
    <mergeCell ref="C159:G159"/>
    <mergeCell ref="H159:I159"/>
    <mergeCell ref="D145:K145"/>
    <mergeCell ref="D146:K146"/>
    <mergeCell ref="D147:K147"/>
    <mergeCell ref="C160:G160"/>
    <mergeCell ref="H160:I160"/>
    <mergeCell ref="C161:G161"/>
    <mergeCell ref="H161:I161"/>
    <mergeCell ref="C162:G162"/>
    <mergeCell ref="H162:I162"/>
    <mergeCell ref="A170:B170"/>
    <mergeCell ref="C171:H171"/>
    <mergeCell ref="A173:B173"/>
    <mergeCell ref="C174:H174"/>
    <mergeCell ref="C163:G163"/>
    <mergeCell ref="H163:I163"/>
    <mergeCell ref="C164:G164"/>
    <mergeCell ref="H164:I164"/>
    <mergeCell ref="C165:G165"/>
    <mergeCell ref="H165:I165"/>
  </mergeCells>
  <pageMargins left="0.4" right="0.2" top="0.2" bottom="0.4" header="0.2" footer="0.2"/>
  <pageSetup paperSize="9" scale="87" fitToHeight="0" orientation="landscape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221"/>
  <sheetViews>
    <sheetView workbookViewId="0">
      <selection activeCell="A217" sqref="A217:O21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2</v>
      </c>
      <c r="P1">
        <v>0</v>
      </c>
      <c r="Q1">
        <v>1</v>
      </c>
    </row>
    <row r="12" spans="1:133" x14ac:dyDescent="0.2">
      <c r="A12" s="1">
        <v>1</v>
      </c>
      <c r="B12" s="1">
        <v>217</v>
      </c>
      <c r="C12" s="1">
        <v>0</v>
      </c>
      <c r="D12" s="1">
        <f>ROW(A158)</f>
        <v>158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B158</f>
        <v>217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ул. Юрьева, 1/6 Освещение</v>
      </c>
      <c r="H18" s="2"/>
      <c r="I18" s="2"/>
      <c r="J18" s="2"/>
      <c r="K18" s="2"/>
      <c r="L18" s="2"/>
      <c r="M18" s="2"/>
      <c r="N18" s="2"/>
      <c r="O18" s="2">
        <f t="shared" ref="O18:AT18" si="1">O158</f>
        <v>27977.34</v>
      </c>
      <c r="P18" s="2">
        <f t="shared" si="1"/>
        <v>24236.6</v>
      </c>
      <c r="Q18" s="2">
        <f t="shared" si="1"/>
        <v>3125.16</v>
      </c>
      <c r="R18" s="2">
        <f t="shared" si="1"/>
        <v>297.93</v>
      </c>
      <c r="S18" s="2">
        <f t="shared" si="1"/>
        <v>615.58000000000004</v>
      </c>
      <c r="T18" s="2">
        <f t="shared" si="1"/>
        <v>0</v>
      </c>
      <c r="U18" s="2">
        <f t="shared" si="1"/>
        <v>80.954265100000001</v>
      </c>
      <c r="V18" s="2">
        <f t="shared" si="1"/>
        <v>24.538777499999998</v>
      </c>
      <c r="W18" s="2">
        <f t="shared" si="1"/>
        <v>0</v>
      </c>
      <c r="X18" s="2">
        <f t="shared" si="1"/>
        <v>919.75</v>
      </c>
      <c r="Y18" s="2">
        <f t="shared" si="1"/>
        <v>521.14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29418.23</v>
      </c>
      <c r="AS18" s="2">
        <f t="shared" si="1"/>
        <v>26813.77</v>
      </c>
      <c r="AT18" s="2">
        <f t="shared" si="1"/>
        <v>2604.46</v>
      </c>
      <c r="AU18" s="2">
        <f t="shared" ref="AU18:BZ18" si="2">AU158</f>
        <v>0</v>
      </c>
      <c r="AV18" s="2">
        <f t="shared" si="2"/>
        <v>24236.6</v>
      </c>
      <c r="AW18" s="2">
        <f t="shared" si="2"/>
        <v>24236.6</v>
      </c>
      <c r="AX18" s="2">
        <f t="shared" si="2"/>
        <v>0</v>
      </c>
      <c r="AY18" s="2">
        <f t="shared" si="2"/>
        <v>24236.6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CA158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DG158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EM158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FS158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ROW(A125)</f>
        <v>125</v>
      </c>
      <c r="E20" s="1"/>
      <c r="F20" s="1" t="s">
        <v>10</v>
      </c>
      <c r="G20" s="1" t="s">
        <v>10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11</v>
      </c>
      <c r="BE20" s="1" t="s">
        <v>11</v>
      </c>
      <c r="BF20" s="1" t="s">
        <v>12</v>
      </c>
      <c r="BG20" s="1" t="s">
        <v>3</v>
      </c>
      <c r="BH20" s="1" t="s">
        <v>12</v>
      </c>
      <c r="BI20" s="1" t="s">
        <v>11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11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B125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O125</f>
        <v>27977.34</v>
      </c>
      <c r="P22" s="2">
        <f t="shared" si="8"/>
        <v>24236.6</v>
      </c>
      <c r="Q22" s="2">
        <f t="shared" si="8"/>
        <v>3125.16</v>
      </c>
      <c r="R22" s="2">
        <f t="shared" si="8"/>
        <v>297.93</v>
      </c>
      <c r="S22" s="2">
        <f t="shared" si="8"/>
        <v>615.58000000000004</v>
      </c>
      <c r="T22" s="2">
        <f t="shared" si="8"/>
        <v>0</v>
      </c>
      <c r="U22" s="2">
        <f t="shared" si="8"/>
        <v>80.954265100000001</v>
      </c>
      <c r="V22" s="2">
        <f t="shared" si="8"/>
        <v>24.538777499999998</v>
      </c>
      <c r="W22" s="2">
        <f t="shared" si="8"/>
        <v>0</v>
      </c>
      <c r="X22" s="2">
        <f t="shared" si="8"/>
        <v>919.75</v>
      </c>
      <c r="Y22" s="2">
        <f t="shared" si="8"/>
        <v>521.14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29418.23</v>
      </c>
      <c r="AS22" s="2">
        <f t="shared" si="8"/>
        <v>26813.77</v>
      </c>
      <c r="AT22" s="2">
        <f t="shared" si="8"/>
        <v>2604.46</v>
      </c>
      <c r="AU22" s="2">
        <f t="shared" ref="AU22:BZ22" si="9">AU125</f>
        <v>0</v>
      </c>
      <c r="AV22" s="2">
        <f t="shared" si="9"/>
        <v>24236.6</v>
      </c>
      <c r="AW22" s="2">
        <f t="shared" si="9"/>
        <v>24236.6</v>
      </c>
      <c r="AX22" s="2">
        <f t="shared" si="9"/>
        <v>0</v>
      </c>
      <c r="AY22" s="2">
        <f t="shared" si="9"/>
        <v>24236.6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CA125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DG125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EM125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FS125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ROW(A92)</f>
        <v>92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11</v>
      </c>
      <c r="BE24" s="1" t="s">
        <v>11</v>
      </c>
      <c r="BF24" s="1" t="s">
        <v>12</v>
      </c>
      <c r="BG24" s="1" t="s">
        <v>3</v>
      </c>
      <c r="BH24" s="1" t="s">
        <v>12</v>
      </c>
      <c r="BI24" s="1" t="s">
        <v>11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11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B92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2. Прокладка сети уличного освещения</v>
      </c>
      <c r="H26" s="2"/>
      <c r="I26" s="2"/>
      <c r="J26" s="2"/>
      <c r="K26" s="2"/>
      <c r="L26" s="2"/>
      <c r="M26" s="2"/>
      <c r="N26" s="2"/>
      <c r="O26" s="2">
        <f t="shared" ref="O26:AT26" si="15">O92</f>
        <v>27977.34</v>
      </c>
      <c r="P26" s="2">
        <f t="shared" si="15"/>
        <v>24236.6</v>
      </c>
      <c r="Q26" s="2">
        <f t="shared" si="15"/>
        <v>3125.16</v>
      </c>
      <c r="R26" s="2">
        <f t="shared" si="15"/>
        <v>297.93</v>
      </c>
      <c r="S26" s="2">
        <f t="shared" si="15"/>
        <v>615.58000000000004</v>
      </c>
      <c r="T26" s="2">
        <f t="shared" si="15"/>
        <v>0</v>
      </c>
      <c r="U26" s="2">
        <f t="shared" si="15"/>
        <v>80.954265100000001</v>
      </c>
      <c r="V26" s="2">
        <f t="shared" si="15"/>
        <v>24.538777499999998</v>
      </c>
      <c r="W26" s="2">
        <f t="shared" si="15"/>
        <v>0</v>
      </c>
      <c r="X26" s="2">
        <f t="shared" si="15"/>
        <v>919.75</v>
      </c>
      <c r="Y26" s="2">
        <f t="shared" si="15"/>
        <v>521.14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29418.23</v>
      </c>
      <c r="AS26" s="2">
        <f t="shared" si="15"/>
        <v>26813.77</v>
      </c>
      <c r="AT26" s="2">
        <f t="shared" si="15"/>
        <v>2604.46</v>
      </c>
      <c r="AU26" s="2">
        <f t="shared" ref="AU26:BZ26" si="16">AU92</f>
        <v>0</v>
      </c>
      <c r="AV26" s="2">
        <f t="shared" si="16"/>
        <v>24236.6</v>
      </c>
      <c r="AW26" s="2">
        <f t="shared" si="16"/>
        <v>24236.6</v>
      </c>
      <c r="AX26" s="2">
        <f t="shared" si="16"/>
        <v>0</v>
      </c>
      <c r="AY26" s="2">
        <f t="shared" si="16"/>
        <v>24236.6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CA92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DG92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EM92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FS92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ROW(A62)</f>
        <v>62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11</v>
      </c>
      <c r="BE28" s="1" t="s">
        <v>11</v>
      </c>
      <c r="BF28" s="1" t="s">
        <v>12</v>
      </c>
      <c r="BG28" s="1" t="s">
        <v>3</v>
      </c>
      <c r="BH28" s="1" t="s">
        <v>12</v>
      </c>
      <c r="BI28" s="1" t="s">
        <v>11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11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B62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Монтажные работы</v>
      </c>
      <c r="H30" s="2"/>
      <c r="I30" s="2"/>
      <c r="J30" s="2"/>
      <c r="K30" s="2"/>
      <c r="L30" s="2"/>
      <c r="M30" s="2"/>
      <c r="N30" s="2"/>
      <c r="O30" s="2">
        <f t="shared" ref="O30:AT30" si="22">O62</f>
        <v>27977.34</v>
      </c>
      <c r="P30" s="2">
        <f t="shared" si="22"/>
        <v>24236.6</v>
      </c>
      <c r="Q30" s="2">
        <f t="shared" si="22"/>
        <v>3125.16</v>
      </c>
      <c r="R30" s="2">
        <f t="shared" si="22"/>
        <v>297.93</v>
      </c>
      <c r="S30" s="2">
        <f t="shared" si="22"/>
        <v>615.58000000000004</v>
      </c>
      <c r="T30" s="2">
        <f t="shared" si="22"/>
        <v>0</v>
      </c>
      <c r="U30" s="2">
        <f t="shared" si="22"/>
        <v>80.954265100000001</v>
      </c>
      <c r="V30" s="2">
        <f t="shared" si="22"/>
        <v>24.538777499999998</v>
      </c>
      <c r="W30" s="2">
        <f t="shared" si="22"/>
        <v>0</v>
      </c>
      <c r="X30" s="2">
        <f t="shared" si="22"/>
        <v>919.75</v>
      </c>
      <c r="Y30" s="2">
        <f t="shared" si="22"/>
        <v>521.14</v>
      </c>
      <c r="Z30" s="2">
        <f t="shared" si="22"/>
        <v>0</v>
      </c>
      <c r="AA30" s="2">
        <f t="shared" si="22"/>
        <v>0</v>
      </c>
      <c r="AB30" s="2">
        <f t="shared" si="22"/>
        <v>27977.34</v>
      </c>
      <c r="AC30" s="2">
        <f t="shared" si="22"/>
        <v>24236.6</v>
      </c>
      <c r="AD30" s="2">
        <f t="shared" si="22"/>
        <v>3125.16</v>
      </c>
      <c r="AE30" s="2">
        <f t="shared" si="22"/>
        <v>297.93</v>
      </c>
      <c r="AF30" s="2">
        <f t="shared" si="22"/>
        <v>615.58000000000004</v>
      </c>
      <c r="AG30" s="2">
        <f t="shared" si="22"/>
        <v>0</v>
      </c>
      <c r="AH30" s="2">
        <f t="shared" si="22"/>
        <v>80.954265100000001</v>
      </c>
      <c r="AI30" s="2">
        <f t="shared" si="22"/>
        <v>24.538777499999998</v>
      </c>
      <c r="AJ30" s="2">
        <f t="shared" si="22"/>
        <v>0</v>
      </c>
      <c r="AK30" s="2">
        <f t="shared" si="22"/>
        <v>919.75</v>
      </c>
      <c r="AL30" s="2">
        <f t="shared" si="22"/>
        <v>521.14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29418.23</v>
      </c>
      <c r="AS30" s="2">
        <f t="shared" si="22"/>
        <v>26813.77</v>
      </c>
      <c r="AT30" s="2">
        <f t="shared" si="22"/>
        <v>2604.46</v>
      </c>
      <c r="AU30" s="2">
        <f t="shared" ref="AU30:BZ30" si="23">AU62</f>
        <v>0</v>
      </c>
      <c r="AV30" s="2">
        <f t="shared" si="23"/>
        <v>24236.6</v>
      </c>
      <c r="AW30" s="2">
        <f t="shared" si="23"/>
        <v>24236.6</v>
      </c>
      <c r="AX30" s="2">
        <f t="shared" si="23"/>
        <v>0</v>
      </c>
      <c r="AY30" s="2">
        <f t="shared" si="23"/>
        <v>24236.6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CA62</f>
        <v>29418.23</v>
      </c>
      <c r="CB30" s="2">
        <f t="shared" si="24"/>
        <v>26813.77</v>
      </c>
      <c r="CC30" s="2">
        <f t="shared" si="24"/>
        <v>2604.46</v>
      </c>
      <c r="CD30" s="2">
        <f t="shared" si="24"/>
        <v>0</v>
      </c>
      <c r="CE30" s="2">
        <f t="shared" si="24"/>
        <v>24236.6</v>
      </c>
      <c r="CF30" s="2">
        <f t="shared" si="24"/>
        <v>24236.6</v>
      </c>
      <c r="CG30" s="2">
        <f t="shared" si="24"/>
        <v>0</v>
      </c>
      <c r="CH30" s="2">
        <f t="shared" si="24"/>
        <v>24236.6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DG62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EM62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FS62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ROW(SmtRes!A5)</f>
        <v>5</v>
      </c>
      <c r="D32">
        <f>ROW(EtalonRes!A5)</f>
        <v>5</v>
      </c>
      <c r="E32" t="s">
        <v>17</v>
      </c>
      <c r="F32" t="s">
        <v>18</v>
      </c>
      <c r="G32" t="s">
        <v>19</v>
      </c>
      <c r="H32" t="s">
        <v>20</v>
      </c>
      <c r="I32">
        <v>5</v>
      </c>
      <c r="J32">
        <v>0</v>
      </c>
      <c r="O32">
        <f t="shared" ref="O32:O60" si="28">ROUND(CP32,2)</f>
        <v>302.05</v>
      </c>
      <c r="P32">
        <f t="shared" ref="P32:P60" si="29">ROUND(CQ32*I32,2)</f>
        <v>0</v>
      </c>
      <c r="Q32">
        <f t="shared" ref="Q32:Q60" si="30">ROUND(CR32*I32,2)</f>
        <v>285.2</v>
      </c>
      <c r="R32">
        <f t="shared" ref="R32:R60" si="31">ROUND(CS32*I32,2)</f>
        <v>39.75</v>
      </c>
      <c r="S32">
        <f t="shared" ref="S32:S60" si="32">ROUND(CT32*I32,2)</f>
        <v>16.850000000000001</v>
      </c>
      <c r="T32">
        <f t="shared" ref="T32:T60" si="33">ROUND(CU32*I32,2)</f>
        <v>0</v>
      </c>
      <c r="U32">
        <f t="shared" ref="U32:U60" si="34">CV32*I32</f>
        <v>2.5300000000000002</v>
      </c>
      <c r="V32">
        <f t="shared" ref="V32:V60" si="35">CW32*I32</f>
        <v>3</v>
      </c>
      <c r="W32">
        <f t="shared" ref="W32:W60" si="36">ROUND(CX32*I32,2)</f>
        <v>0</v>
      </c>
      <c r="X32">
        <f t="shared" ref="X32:X60" si="37">ROUND(CY32,2)</f>
        <v>59.43</v>
      </c>
      <c r="Y32">
        <f t="shared" ref="Y32:Y60" si="38">ROUND(CZ32,2)</f>
        <v>28.87</v>
      </c>
      <c r="AA32">
        <v>52156631</v>
      </c>
      <c r="AB32">
        <f t="shared" ref="AB32:AB60" si="39">ROUND((AC32+AD32+AF32),2)</f>
        <v>60.41</v>
      </c>
      <c r="AC32">
        <f t="shared" ref="AC32:AC60" si="40">ROUND((ES32),2)</f>
        <v>0</v>
      </c>
      <c r="AD32">
        <f>ROUND(((((ET32*1.25))-((EU32*1.25)))+AE32),2)</f>
        <v>57.04</v>
      </c>
      <c r="AE32">
        <f>ROUND(((EU32*1.25)),2)</f>
        <v>7.95</v>
      </c>
      <c r="AF32">
        <f>ROUND(((EV32*1.15)),2)</f>
        <v>3.37</v>
      </c>
      <c r="AG32">
        <f t="shared" ref="AG32:AG60" si="41">ROUND((AP32),2)</f>
        <v>0</v>
      </c>
      <c r="AH32">
        <f>((EW32*1.15))</f>
        <v>0.50600000000000001</v>
      </c>
      <c r="AI32">
        <f>((EX32*1.25))</f>
        <v>0.6</v>
      </c>
      <c r="AJ32">
        <f t="shared" ref="AJ32:AJ60" si="42">(AS32)</f>
        <v>0</v>
      </c>
      <c r="AK32">
        <v>48.56</v>
      </c>
      <c r="AL32">
        <v>0</v>
      </c>
      <c r="AM32">
        <v>45.63</v>
      </c>
      <c r="AN32">
        <v>6.36</v>
      </c>
      <c r="AO32">
        <v>2.93</v>
      </c>
      <c r="AP32">
        <v>0</v>
      </c>
      <c r="AQ32">
        <v>0.44</v>
      </c>
      <c r="AR32">
        <v>0.48</v>
      </c>
      <c r="AS32">
        <v>0</v>
      </c>
      <c r="AT32">
        <v>105</v>
      </c>
      <c r="AU32">
        <v>51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21</v>
      </c>
      <c r="BM32">
        <v>33001</v>
      </c>
      <c r="BN32">
        <v>0</v>
      </c>
      <c r="BO32" t="s">
        <v>3</v>
      </c>
      <c r="BP32">
        <v>0</v>
      </c>
      <c r="BQ32">
        <v>2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105</v>
      </c>
      <c r="CA32">
        <v>60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60" si="43">(P32+Q32+S32)</f>
        <v>302.05</v>
      </c>
      <c r="CQ32">
        <f t="shared" ref="CQ32:CQ60" si="44">AC32*BC32</f>
        <v>0</v>
      </c>
      <c r="CR32">
        <f t="shared" ref="CR32:CR60" si="45">AD32*BB32</f>
        <v>57.04</v>
      </c>
      <c r="CS32">
        <f t="shared" ref="CS32:CS60" si="46">AE32*BS32</f>
        <v>7.95</v>
      </c>
      <c r="CT32">
        <f t="shared" ref="CT32:CT60" si="47">AF32*BA32</f>
        <v>3.37</v>
      </c>
      <c r="CU32">
        <f t="shared" ref="CU32:CU60" si="48">AG32</f>
        <v>0</v>
      </c>
      <c r="CV32">
        <f t="shared" ref="CV32:CV60" si="49">AH32</f>
        <v>0.50600000000000001</v>
      </c>
      <c r="CW32">
        <f t="shared" ref="CW32:CW60" si="50">AI32</f>
        <v>0.6</v>
      </c>
      <c r="CX32">
        <f t="shared" ref="CX32:CX60" si="51">AJ32</f>
        <v>0</v>
      </c>
      <c r="CY32">
        <f t="shared" ref="CY32:CY60" si="52">(((S32+R32)*AT32)/100)</f>
        <v>59.43</v>
      </c>
      <c r="CZ32">
        <f t="shared" ref="CZ32:CZ60" si="53">(((S32+R32)*AU32)/100)</f>
        <v>28.866</v>
      </c>
      <c r="DC32" t="s">
        <v>3</v>
      </c>
      <c r="DD32" t="s">
        <v>3</v>
      </c>
      <c r="DE32" t="s">
        <v>11</v>
      </c>
      <c r="DF32" t="s">
        <v>11</v>
      </c>
      <c r="DG32" t="s">
        <v>12</v>
      </c>
      <c r="DH32" t="s">
        <v>3</v>
      </c>
      <c r="DI32" t="s">
        <v>12</v>
      </c>
      <c r="DJ32" t="s">
        <v>11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20</v>
      </c>
      <c r="DW32" t="s">
        <v>20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50663971</v>
      </c>
      <c r="EF32">
        <v>2</v>
      </c>
      <c r="EG32" t="s">
        <v>22</v>
      </c>
      <c r="EH32">
        <v>0</v>
      </c>
      <c r="EI32" t="s">
        <v>3</v>
      </c>
      <c r="EJ32">
        <v>1</v>
      </c>
      <c r="EK32">
        <v>33001</v>
      </c>
      <c r="EL32" t="s">
        <v>23</v>
      </c>
      <c r="EM32" t="s">
        <v>24</v>
      </c>
      <c r="EO32" t="s">
        <v>3</v>
      </c>
      <c r="EQ32">
        <v>0</v>
      </c>
      <c r="ER32">
        <v>48.56</v>
      </c>
      <c r="ES32">
        <v>0</v>
      </c>
      <c r="ET32">
        <v>45.63</v>
      </c>
      <c r="EU32">
        <v>6.36</v>
      </c>
      <c r="EV32">
        <v>2.93</v>
      </c>
      <c r="EW32">
        <v>0.44</v>
      </c>
      <c r="EX32">
        <v>0.48</v>
      </c>
      <c r="EY32">
        <v>0</v>
      </c>
      <c r="FQ32">
        <v>0</v>
      </c>
      <c r="FR32">
        <f t="shared" ref="FR32:FR60" si="54">ROUND(IF(AND(BH32=3,BI32=3),P32,0),2)</f>
        <v>0</v>
      </c>
      <c r="FS32">
        <v>0</v>
      </c>
      <c r="FU32" t="s">
        <v>25</v>
      </c>
      <c r="FX32">
        <v>105</v>
      </c>
      <c r="FY32">
        <v>51</v>
      </c>
      <c r="GA32" t="s">
        <v>3</v>
      </c>
      <c r="GD32">
        <v>1</v>
      </c>
      <c r="GF32">
        <v>-15187746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ref="GL32:GL60" si="55">ROUND(IF(AND(BH32=3,BI32=3,FS32&lt;&gt;0),P32,0),2)</f>
        <v>0</v>
      </c>
      <c r="GM32">
        <f t="shared" ref="GM32:GM60" si="56">ROUND(O32+X32+Y32,2)+GX32</f>
        <v>390.35</v>
      </c>
      <c r="GN32">
        <f t="shared" ref="GN32:GN60" si="57">IF(OR(BI32=0,BI32=1),ROUND(O32+X32+Y32,2),0)</f>
        <v>390.35</v>
      </c>
      <c r="GO32">
        <f t="shared" ref="GO32:GO60" si="58">IF(BI32=2,ROUND(O32+X32+Y32,2),0)</f>
        <v>0</v>
      </c>
      <c r="GP32">
        <f t="shared" ref="GP32:GP60" si="59">IF(BI32=4,ROUND(O32+X32+Y32,2)+GX32,0)</f>
        <v>0</v>
      </c>
      <c r="GR32">
        <v>0</v>
      </c>
      <c r="GS32">
        <v>3</v>
      </c>
      <c r="GT32">
        <v>0</v>
      </c>
      <c r="GU32" t="s">
        <v>3</v>
      </c>
      <c r="GV32">
        <f t="shared" ref="GV32:GV60" si="60">ROUND((GT32),2)</f>
        <v>0</v>
      </c>
      <c r="GW32">
        <v>1</v>
      </c>
      <c r="GX32">
        <f t="shared" ref="GX32:GX60" si="61">ROUND(HC32*I32,2)</f>
        <v>0</v>
      </c>
      <c r="HA32">
        <v>0</v>
      </c>
      <c r="HB32">
        <v>0</v>
      </c>
      <c r="HC32">
        <f t="shared" ref="HC32:HC60" si="62">GV32*GW32</f>
        <v>0</v>
      </c>
      <c r="HE32" t="s">
        <v>3</v>
      </c>
      <c r="HF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ROW(SmtRes!A9)</f>
        <v>9</v>
      </c>
      <c r="D33">
        <f>ROW(EtalonRes!A9)</f>
        <v>9</v>
      </c>
      <c r="E33" t="s">
        <v>26</v>
      </c>
      <c r="F33" t="s">
        <v>27</v>
      </c>
      <c r="G33" t="s">
        <v>28</v>
      </c>
      <c r="H33" t="s">
        <v>20</v>
      </c>
      <c r="I33">
        <v>5</v>
      </c>
      <c r="J33">
        <v>0</v>
      </c>
      <c r="O33">
        <f t="shared" si="28"/>
        <v>78.150000000000006</v>
      </c>
      <c r="P33">
        <f t="shared" si="29"/>
        <v>0</v>
      </c>
      <c r="Q33">
        <f t="shared" si="30"/>
        <v>68.599999999999994</v>
      </c>
      <c r="R33">
        <f t="shared" si="31"/>
        <v>11.65</v>
      </c>
      <c r="S33">
        <f t="shared" si="32"/>
        <v>9.5500000000000007</v>
      </c>
      <c r="T33">
        <f t="shared" si="33"/>
        <v>0</v>
      </c>
      <c r="U33">
        <f t="shared" si="34"/>
        <v>1.4375</v>
      </c>
      <c r="V33">
        <f t="shared" si="35"/>
        <v>0.87500000000000011</v>
      </c>
      <c r="W33">
        <f t="shared" si="36"/>
        <v>0</v>
      </c>
      <c r="X33">
        <f t="shared" si="37"/>
        <v>22.26</v>
      </c>
      <c r="Y33">
        <f t="shared" si="38"/>
        <v>10.81</v>
      </c>
      <c r="AA33">
        <v>52156631</v>
      </c>
      <c r="AB33">
        <f t="shared" si="39"/>
        <v>15.63</v>
      </c>
      <c r="AC33">
        <f t="shared" si="40"/>
        <v>0</v>
      </c>
      <c r="AD33">
        <f>ROUND(((((ET33*1.25))-((EU33*1.25)))+AE33),2)</f>
        <v>13.72</v>
      </c>
      <c r="AE33">
        <f>ROUND(((EU33*1.25)),2)</f>
        <v>2.33</v>
      </c>
      <c r="AF33">
        <f>ROUND(((EV33*1.15)),2)</f>
        <v>1.91</v>
      </c>
      <c r="AG33">
        <f t="shared" si="41"/>
        <v>0</v>
      </c>
      <c r="AH33">
        <f>((EW33*1.15))</f>
        <v>0.28749999999999998</v>
      </c>
      <c r="AI33">
        <f>((EX33*1.25))</f>
        <v>0.17500000000000002</v>
      </c>
      <c r="AJ33">
        <f t="shared" si="42"/>
        <v>0</v>
      </c>
      <c r="AK33">
        <v>12.63</v>
      </c>
      <c r="AL33">
        <v>0</v>
      </c>
      <c r="AM33">
        <v>10.97</v>
      </c>
      <c r="AN33">
        <v>1.86</v>
      </c>
      <c r="AO33">
        <v>1.66</v>
      </c>
      <c r="AP33">
        <v>0</v>
      </c>
      <c r="AQ33">
        <v>0.25</v>
      </c>
      <c r="AR33">
        <v>0.14000000000000001</v>
      </c>
      <c r="AS33">
        <v>0</v>
      </c>
      <c r="AT33">
        <v>105</v>
      </c>
      <c r="AU33">
        <v>51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29</v>
      </c>
      <c r="BM33">
        <v>33001</v>
      </c>
      <c r="BN33">
        <v>0</v>
      </c>
      <c r="BO33" t="s">
        <v>3</v>
      </c>
      <c r="BP33">
        <v>0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105</v>
      </c>
      <c r="CA33">
        <v>60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3"/>
        <v>78.149999999999991</v>
      </c>
      <c r="CQ33">
        <f t="shared" si="44"/>
        <v>0</v>
      </c>
      <c r="CR33">
        <f t="shared" si="45"/>
        <v>13.72</v>
      </c>
      <c r="CS33">
        <f t="shared" si="46"/>
        <v>2.33</v>
      </c>
      <c r="CT33">
        <f t="shared" si="47"/>
        <v>1.91</v>
      </c>
      <c r="CU33">
        <f t="shared" si="48"/>
        <v>0</v>
      </c>
      <c r="CV33">
        <f t="shared" si="49"/>
        <v>0.28749999999999998</v>
      </c>
      <c r="CW33">
        <f t="shared" si="50"/>
        <v>0.17500000000000002</v>
      </c>
      <c r="CX33">
        <f t="shared" si="51"/>
        <v>0</v>
      </c>
      <c r="CY33">
        <f t="shared" si="52"/>
        <v>22.260000000000005</v>
      </c>
      <c r="CZ33">
        <f t="shared" si="53"/>
        <v>10.812000000000001</v>
      </c>
      <c r="DC33" t="s">
        <v>3</v>
      </c>
      <c r="DD33" t="s">
        <v>3</v>
      </c>
      <c r="DE33" t="s">
        <v>11</v>
      </c>
      <c r="DF33" t="s">
        <v>11</v>
      </c>
      <c r="DG33" t="s">
        <v>12</v>
      </c>
      <c r="DH33" t="s">
        <v>3</v>
      </c>
      <c r="DI33" t="s">
        <v>12</v>
      </c>
      <c r="DJ33" t="s">
        <v>11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20</v>
      </c>
      <c r="DW33" t="s">
        <v>20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50663971</v>
      </c>
      <c r="EF33">
        <v>2</v>
      </c>
      <c r="EG33" t="s">
        <v>22</v>
      </c>
      <c r="EH33">
        <v>0</v>
      </c>
      <c r="EI33" t="s">
        <v>3</v>
      </c>
      <c r="EJ33">
        <v>1</v>
      </c>
      <c r="EK33">
        <v>33001</v>
      </c>
      <c r="EL33" t="s">
        <v>23</v>
      </c>
      <c r="EM33" t="s">
        <v>24</v>
      </c>
      <c r="EO33" t="s">
        <v>3</v>
      </c>
      <c r="EQ33">
        <v>0</v>
      </c>
      <c r="ER33">
        <v>12.63</v>
      </c>
      <c r="ES33">
        <v>0</v>
      </c>
      <c r="ET33">
        <v>10.97</v>
      </c>
      <c r="EU33">
        <v>1.86</v>
      </c>
      <c r="EV33">
        <v>1.66</v>
      </c>
      <c r="EW33">
        <v>0.25</v>
      </c>
      <c r="EX33">
        <v>0.14000000000000001</v>
      </c>
      <c r="EY33">
        <v>0</v>
      </c>
      <c r="FQ33">
        <v>0</v>
      </c>
      <c r="FR33">
        <f t="shared" si="54"/>
        <v>0</v>
      </c>
      <c r="FS33">
        <v>0</v>
      </c>
      <c r="FU33" t="s">
        <v>25</v>
      </c>
      <c r="FX33">
        <v>105</v>
      </c>
      <c r="FY33">
        <v>51</v>
      </c>
      <c r="GA33" t="s">
        <v>3</v>
      </c>
      <c r="GD33">
        <v>1</v>
      </c>
      <c r="GF33">
        <v>1426855871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55"/>
        <v>0</v>
      </c>
      <c r="GM33">
        <f t="shared" si="56"/>
        <v>111.22</v>
      </c>
      <c r="GN33">
        <f t="shared" si="57"/>
        <v>111.22</v>
      </c>
      <c r="GO33">
        <f t="shared" si="58"/>
        <v>0</v>
      </c>
      <c r="GP33">
        <f t="shared" si="59"/>
        <v>0</v>
      </c>
      <c r="GR33">
        <v>0</v>
      </c>
      <c r="GS33">
        <v>3</v>
      </c>
      <c r="GT33">
        <v>0</v>
      </c>
      <c r="GU33" t="s">
        <v>3</v>
      </c>
      <c r="GV33">
        <f t="shared" si="60"/>
        <v>0</v>
      </c>
      <c r="GW33">
        <v>1</v>
      </c>
      <c r="GX33">
        <f t="shared" si="61"/>
        <v>0</v>
      </c>
      <c r="HA33">
        <v>0</v>
      </c>
      <c r="HB33">
        <v>0</v>
      </c>
      <c r="HC33">
        <f t="shared" si="62"/>
        <v>0</v>
      </c>
      <c r="HE33" t="s">
        <v>3</v>
      </c>
      <c r="HF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ROW(SmtRes!A20)</f>
        <v>20</v>
      </c>
      <c r="D34">
        <f>ROW(EtalonRes!A27)</f>
        <v>27</v>
      </c>
      <c r="E34" t="s">
        <v>30</v>
      </c>
      <c r="F34" t="s">
        <v>31</v>
      </c>
      <c r="G34" t="s">
        <v>32</v>
      </c>
      <c r="H34" t="s">
        <v>20</v>
      </c>
      <c r="I34">
        <v>5</v>
      </c>
      <c r="J34">
        <v>0</v>
      </c>
      <c r="O34">
        <f t="shared" si="28"/>
        <v>1150.0999999999999</v>
      </c>
      <c r="P34">
        <f t="shared" si="29"/>
        <v>215.5</v>
      </c>
      <c r="Q34">
        <f t="shared" si="30"/>
        <v>777.05</v>
      </c>
      <c r="R34">
        <f t="shared" si="31"/>
        <v>55.5</v>
      </c>
      <c r="S34">
        <f t="shared" si="32"/>
        <v>157.55000000000001</v>
      </c>
      <c r="T34">
        <f t="shared" si="33"/>
        <v>0</v>
      </c>
      <c r="U34">
        <f t="shared" si="34"/>
        <v>21.849999999999994</v>
      </c>
      <c r="V34">
        <f t="shared" si="35"/>
        <v>4.875</v>
      </c>
      <c r="W34">
        <f t="shared" si="36"/>
        <v>0</v>
      </c>
      <c r="X34">
        <f t="shared" si="37"/>
        <v>223.7</v>
      </c>
      <c r="Y34">
        <f t="shared" si="38"/>
        <v>108.66</v>
      </c>
      <c r="AA34">
        <v>52156631</v>
      </c>
      <c r="AB34">
        <f t="shared" si="39"/>
        <v>230.02</v>
      </c>
      <c r="AC34">
        <f t="shared" si="40"/>
        <v>43.1</v>
      </c>
      <c r="AD34">
        <f>ROUND(((((ET34*1.25))-((EU34*1.25)))+AE34),2)</f>
        <v>155.41</v>
      </c>
      <c r="AE34">
        <f>ROUND(((EU34*1.25)),2)</f>
        <v>11.1</v>
      </c>
      <c r="AF34">
        <f>ROUND(((EV34*1.15)),2)</f>
        <v>31.51</v>
      </c>
      <c r="AG34">
        <f t="shared" si="41"/>
        <v>0</v>
      </c>
      <c r="AH34">
        <f>((EW34*1.15))</f>
        <v>4.3699999999999992</v>
      </c>
      <c r="AI34">
        <f>((EX34*1.25))</f>
        <v>0.97500000000000009</v>
      </c>
      <c r="AJ34">
        <f t="shared" si="42"/>
        <v>0</v>
      </c>
      <c r="AK34">
        <v>194.83</v>
      </c>
      <c r="AL34">
        <v>43.1</v>
      </c>
      <c r="AM34">
        <v>124.33</v>
      </c>
      <c r="AN34">
        <v>8.8800000000000008</v>
      </c>
      <c r="AO34">
        <v>27.4</v>
      </c>
      <c r="AP34">
        <v>0</v>
      </c>
      <c r="AQ34">
        <v>3.8</v>
      </c>
      <c r="AR34">
        <v>0.78</v>
      </c>
      <c r="AS34">
        <v>0</v>
      </c>
      <c r="AT34">
        <v>105</v>
      </c>
      <c r="AU34">
        <v>51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33</v>
      </c>
      <c r="BM34">
        <v>33001</v>
      </c>
      <c r="BN34">
        <v>0</v>
      </c>
      <c r="BO34" t="s">
        <v>3</v>
      </c>
      <c r="BP34">
        <v>0</v>
      </c>
      <c r="BQ34">
        <v>2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105</v>
      </c>
      <c r="CA34">
        <v>60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3"/>
        <v>1150.0999999999999</v>
      </c>
      <c r="CQ34">
        <f t="shared" si="44"/>
        <v>43.1</v>
      </c>
      <c r="CR34">
        <f t="shared" si="45"/>
        <v>155.41</v>
      </c>
      <c r="CS34">
        <f t="shared" si="46"/>
        <v>11.1</v>
      </c>
      <c r="CT34">
        <f t="shared" si="47"/>
        <v>31.51</v>
      </c>
      <c r="CU34">
        <f t="shared" si="48"/>
        <v>0</v>
      </c>
      <c r="CV34">
        <f t="shared" si="49"/>
        <v>4.3699999999999992</v>
      </c>
      <c r="CW34">
        <f t="shared" si="50"/>
        <v>0.97500000000000009</v>
      </c>
      <c r="CX34">
        <f t="shared" si="51"/>
        <v>0</v>
      </c>
      <c r="CY34">
        <f t="shared" si="52"/>
        <v>223.70249999999999</v>
      </c>
      <c r="CZ34">
        <f t="shared" si="53"/>
        <v>108.65550000000002</v>
      </c>
      <c r="DC34" t="s">
        <v>3</v>
      </c>
      <c r="DD34" t="s">
        <v>3</v>
      </c>
      <c r="DE34" t="s">
        <v>11</v>
      </c>
      <c r="DF34" t="s">
        <v>11</v>
      </c>
      <c r="DG34" t="s">
        <v>12</v>
      </c>
      <c r="DH34" t="s">
        <v>3</v>
      </c>
      <c r="DI34" t="s">
        <v>12</v>
      </c>
      <c r="DJ34" t="s">
        <v>11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20</v>
      </c>
      <c r="DW34" t="s">
        <v>20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50663971</v>
      </c>
      <c r="EF34">
        <v>2</v>
      </c>
      <c r="EG34" t="s">
        <v>22</v>
      </c>
      <c r="EH34">
        <v>0</v>
      </c>
      <c r="EI34" t="s">
        <v>3</v>
      </c>
      <c r="EJ34">
        <v>1</v>
      </c>
      <c r="EK34">
        <v>33001</v>
      </c>
      <c r="EL34" t="s">
        <v>23</v>
      </c>
      <c r="EM34" t="s">
        <v>24</v>
      </c>
      <c r="EO34" t="s">
        <v>3</v>
      </c>
      <c r="EQ34">
        <v>0</v>
      </c>
      <c r="ER34">
        <v>194.83</v>
      </c>
      <c r="ES34">
        <v>43.1</v>
      </c>
      <c r="ET34">
        <v>124.33</v>
      </c>
      <c r="EU34">
        <v>8.8800000000000008</v>
      </c>
      <c r="EV34">
        <v>27.4</v>
      </c>
      <c r="EW34">
        <v>3.8</v>
      </c>
      <c r="EX34">
        <v>0.78</v>
      </c>
      <c r="EY34">
        <v>0</v>
      </c>
      <c r="FQ34">
        <v>0</v>
      </c>
      <c r="FR34">
        <f t="shared" si="54"/>
        <v>0</v>
      </c>
      <c r="FS34">
        <v>0</v>
      </c>
      <c r="FU34" t="s">
        <v>25</v>
      </c>
      <c r="FX34">
        <v>105</v>
      </c>
      <c r="FY34">
        <v>51</v>
      </c>
      <c r="GA34" t="s">
        <v>3</v>
      </c>
      <c r="GD34">
        <v>1</v>
      </c>
      <c r="GF34">
        <v>1588840087</v>
      </c>
      <c r="GG34">
        <v>2</v>
      </c>
      <c r="GH34">
        <v>1</v>
      </c>
      <c r="GI34">
        <v>-2</v>
      </c>
      <c r="GJ34">
        <v>0</v>
      </c>
      <c r="GK34">
        <v>0</v>
      </c>
      <c r="GL34">
        <f t="shared" si="55"/>
        <v>0</v>
      </c>
      <c r="GM34">
        <f t="shared" si="56"/>
        <v>1482.46</v>
      </c>
      <c r="GN34">
        <f t="shared" si="57"/>
        <v>1482.46</v>
      </c>
      <c r="GO34">
        <f t="shared" si="58"/>
        <v>0</v>
      </c>
      <c r="GP34">
        <f t="shared" si="59"/>
        <v>0</v>
      </c>
      <c r="GR34">
        <v>0</v>
      </c>
      <c r="GS34">
        <v>3</v>
      </c>
      <c r="GT34">
        <v>0</v>
      </c>
      <c r="GU34" t="s">
        <v>3</v>
      </c>
      <c r="GV34">
        <f t="shared" si="60"/>
        <v>0</v>
      </c>
      <c r="GW34">
        <v>1</v>
      </c>
      <c r="GX34">
        <f t="shared" si="61"/>
        <v>0</v>
      </c>
      <c r="HA34">
        <v>0</v>
      </c>
      <c r="HB34">
        <v>0</v>
      </c>
      <c r="HC34">
        <f t="shared" si="62"/>
        <v>0</v>
      </c>
      <c r="HE34" t="s">
        <v>3</v>
      </c>
      <c r="HF34" t="s">
        <v>3</v>
      </c>
      <c r="IK34">
        <v>0</v>
      </c>
    </row>
    <row r="35" spans="1:245" x14ac:dyDescent="0.2">
      <c r="A35">
        <v>18</v>
      </c>
      <c r="B35">
        <v>1</v>
      </c>
      <c r="C35">
        <v>19</v>
      </c>
      <c r="E35" t="s">
        <v>34</v>
      </c>
      <c r="F35" t="s">
        <v>35</v>
      </c>
      <c r="G35" t="s">
        <v>36</v>
      </c>
      <c r="H35" t="s">
        <v>37</v>
      </c>
      <c r="I35">
        <f>I34*J35</f>
        <v>5</v>
      </c>
      <c r="J35">
        <v>1</v>
      </c>
      <c r="O35">
        <f t="shared" si="28"/>
        <v>7436.3</v>
      </c>
      <c r="P35">
        <f t="shared" si="29"/>
        <v>7436.3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52156631</v>
      </c>
      <c r="AB35">
        <f t="shared" si="39"/>
        <v>1487.26</v>
      </c>
      <c r="AC35">
        <f t="shared" si="40"/>
        <v>1487.26</v>
      </c>
      <c r="AD35">
        <f>ROUND((((ET35)-(EU35))+AE35),2)</f>
        <v>0</v>
      </c>
      <c r="AE35">
        <f>ROUND((EU35),2)</f>
        <v>0</v>
      </c>
      <c r="AF35">
        <f>ROUND((EV35),2)</f>
        <v>0</v>
      </c>
      <c r="AG35">
        <f t="shared" si="41"/>
        <v>0</v>
      </c>
      <c r="AH35">
        <f>(EW35)</f>
        <v>0</v>
      </c>
      <c r="AI35">
        <f>(EX35)</f>
        <v>0</v>
      </c>
      <c r="AJ35">
        <f t="shared" si="42"/>
        <v>0</v>
      </c>
      <c r="AK35">
        <v>1487.26</v>
      </c>
      <c r="AL35">
        <v>1487.26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105</v>
      </c>
      <c r="AU35">
        <v>51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38</v>
      </c>
      <c r="BM35">
        <v>33001</v>
      </c>
      <c r="BN35">
        <v>0</v>
      </c>
      <c r="BO35" t="s">
        <v>3</v>
      </c>
      <c r="BP35">
        <v>0</v>
      </c>
      <c r="BQ35">
        <v>2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105</v>
      </c>
      <c r="CA35">
        <v>60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3"/>
        <v>7436.3</v>
      </c>
      <c r="CQ35">
        <f t="shared" si="44"/>
        <v>1487.26</v>
      </c>
      <c r="CR35">
        <f t="shared" si="45"/>
        <v>0</v>
      </c>
      <c r="CS35">
        <f t="shared" si="46"/>
        <v>0</v>
      </c>
      <c r="CT35">
        <f t="shared" si="47"/>
        <v>0</v>
      </c>
      <c r="CU35">
        <f t="shared" si="48"/>
        <v>0</v>
      </c>
      <c r="CV35">
        <f t="shared" si="49"/>
        <v>0</v>
      </c>
      <c r="CW35">
        <f t="shared" si="50"/>
        <v>0</v>
      </c>
      <c r="CX35">
        <f t="shared" si="51"/>
        <v>0</v>
      </c>
      <c r="CY35">
        <f t="shared" si="52"/>
        <v>0</v>
      </c>
      <c r="CZ35">
        <f t="shared" si="53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1010</v>
      </c>
      <c r="DV35" t="s">
        <v>37</v>
      </c>
      <c r="DW35" t="s">
        <v>37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50663971</v>
      </c>
      <c r="EF35">
        <v>2</v>
      </c>
      <c r="EG35" t="s">
        <v>22</v>
      </c>
      <c r="EH35">
        <v>0</v>
      </c>
      <c r="EI35" t="s">
        <v>3</v>
      </c>
      <c r="EJ35">
        <v>1</v>
      </c>
      <c r="EK35">
        <v>33001</v>
      </c>
      <c r="EL35" t="s">
        <v>23</v>
      </c>
      <c r="EM35" t="s">
        <v>24</v>
      </c>
      <c r="EO35" t="s">
        <v>3</v>
      </c>
      <c r="EQ35">
        <v>0</v>
      </c>
      <c r="ER35">
        <v>1487.26</v>
      </c>
      <c r="ES35">
        <v>1487.26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54"/>
        <v>0</v>
      </c>
      <c r="FS35">
        <v>0</v>
      </c>
      <c r="FU35" t="s">
        <v>25</v>
      </c>
      <c r="FX35">
        <v>105</v>
      </c>
      <c r="FY35">
        <v>51</v>
      </c>
      <c r="GA35" t="s">
        <v>3</v>
      </c>
      <c r="GD35">
        <v>1</v>
      </c>
      <c r="GF35">
        <v>795211143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si="55"/>
        <v>0</v>
      </c>
      <c r="GM35">
        <f t="shared" si="56"/>
        <v>7436.3</v>
      </c>
      <c r="GN35">
        <f t="shared" si="57"/>
        <v>7436.3</v>
      </c>
      <c r="GO35">
        <f t="shared" si="58"/>
        <v>0</v>
      </c>
      <c r="GP35">
        <f t="shared" si="59"/>
        <v>0</v>
      </c>
      <c r="GR35">
        <v>0</v>
      </c>
      <c r="GS35">
        <v>3</v>
      </c>
      <c r="GT35">
        <v>0</v>
      </c>
      <c r="GU35" t="s">
        <v>3</v>
      </c>
      <c r="GV35">
        <f t="shared" si="60"/>
        <v>0</v>
      </c>
      <c r="GW35">
        <v>1</v>
      </c>
      <c r="GX35">
        <f t="shared" si="61"/>
        <v>0</v>
      </c>
      <c r="HA35">
        <v>0</v>
      </c>
      <c r="HB35">
        <v>0</v>
      </c>
      <c r="HC35">
        <f t="shared" si="62"/>
        <v>0</v>
      </c>
      <c r="HE35" t="s">
        <v>3</v>
      </c>
      <c r="HF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ROW(SmtRes!A40)</f>
        <v>40</v>
      </c>
      <c r="D36">
        <f>ROW(EtalonRes!A42)</f>
        <v>42</v>
      </c>
      <c r="E36" t="s">
        <v>39</v>
      </c>
      <c r="F36" t="s">
        <v>40</v>
      </c>
      <c r="G36" t="s">
        <v>41</v>
      </c>
      <c r="H36" t="s">
        <v>42</v>
      </c>
      <c r="I36">
        <f>ROUND(119/1000,9)</f>
        <v>0.11899999999999999</v>
      </c>
      <c r="J36">
        <v>0</v>
      </c>
      <c r="O36">
        <f t="shared" si="28"/>
        <v>1363.05</v>
      </c>
      <c r="P36">
        <f t="shared" si="29"/>
        <v>828.16</v>
      </c>
      <c r="Q36">
        <f t="shared" si="30"/>
        <v>465.79</v>
      </c>
      <c r="R36">
        <f t="shared" si="31"/>
        <v>57.74</v>
      </c>
      <c r="S36">
        <f t="shared" si="32"/>
        <v>69.099999999999994</v>
      </c>
      <c r="T36">
        <f t="shared" si="33"/>
        <v>0</v>
      </c>
      <c r="U36">
        <f t="shared" si="34"/>
        <v>8.928093999999998</v>
      </c>
      <c r="V36">
        <f t="shared" si="35"/>
        <v>5.5305249999999999</v>
      </c>
      <c r="W36">
        <f t="shared" si="36"/>
        <v>0</v>
      </c>
      <c r="X36">
        <f t="shared" si="37"/>
        <v>133.18</v>
      </c>
      <c r="Y36">
        <f t="shared" si="38"/>
        <v>64.69</v>
      </c>
      <c r="AA36">
        <v>52156631</v>
      </c>
      <c r="AB36">
        <f t="shared" si="39"/>
        <v>11454.25</v>
      </c>
      <c r="AC36">
        <f t="shared" si="40"/>
        <v>6959.32</v>
      </c>
      <c r="AD36">
        <f>ROUND(((((ET36*1.25))-((EU36*1.25)))+AE36),2)</f>
        <v>3914.23</v>
      </c>
      <c r="AE36">
        <f>ROUND(((EU36*1.25)),2)</f>
        <v>485.2</v>
      </c>
      <c r="AF36">
        <f>ROUND(((EV36*1.15)),2)</f>
        <v>580.70000000000005</v>
      </c>
      <c r="AG36">
        <f t="shared" si="41"/>
        <v>0</v>
      </c>
      <c r="AH36">
        <f>((EW36*1.15))</f>
        <v>75.025999999999982</v>
      </c>
      <c r="AI36">
        <f>((EX36*1.25))</f>
        <v>46.475000000000001</v>
      </c>
      <c r="AJ36">
        <f t="shared" si="42"/>
        <v>0</v>
      </c>
      <c r="AK36">
        <v>10595.66</v>
      </c>
      <c r="AL36">
        <v>6959.32</v>
      </c>
      <c r="AM36">
        <v>3131.38</v>
      </c>
      <c r="AN36">
        <v>388.16</v>
      </c>
      <c r="AO36">
        <v>504.96</v>
      </c>
      <c r="AP36">
        <v>0</v>
      </c>
      <c r="AQ36">
        <v>65.239999999999995</v>
      </c>
      <c r="AR36">
        <v>37.18</v>
      </c>
      <c r="AS36">
        <v>0</v>
      </c>
      <c r="AT36">
        <v>105</v>
      </c>
      <c r="AU36">
        <v>51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43</v>
      </c>
      <c r="BM36">
        <v>33001</v>
      </c>
      <c r="BN36">
        <v>0</v>
      </c>
      <c r="BO36" t="s">
        <v>3</v>
      </c>
      <c r="BP36">
        <v>0</v>
      </c>
      <c r="BQ36">
        <v>2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105</v>
      </c>
      <c r="CA36">
        <v>60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3"/>
        <v>1363.05</v>
      </c>
      <c r="CQ36">
        <f t="shared" si="44"/>
        <v>6959.32</v>
      </c>
      <c r="CR36">
        <f t="shared" si="45"/>
        <v>3914.23</v>
      </c>
      <c r="CS36">
        <f t="shared" si="46"/>
        <v>485.2</v>
      </c>
      <c r="CT36">
        <f t="shared" si="47"/>
        <v>580.70000000000005</v>
      </c>
      <c r="CU36">
        <f t="shared" si="48"/>
        <v>0</v>
      </c>
      <c r="CV36">
        <f t="shared" si="49"/>
        <v>75.025999999999982</v>
      </c>
      <c r="CW36">
        <f t="shared" si="50"/>
        <v>46.475000000000001</v>
      </c>
      <c r="CX36">
        <f t="shared" si="51"/>
        <v>0</v>
      </c>
      <c r="CY36">
        <f t="shared" si="52"/>
        <v>133.18200000000002</v>
      </c>
      <c r="CZ36">
        <f t="shared" si="53"/>
        <v>64.688400000000001</v>
      </c>
      <c r="DC36" t="s">
        <v>3</v>
      </c>
      <c r="DD36" t="s">
        <v>3</v>
      </c>
      <c r="DE36" t="s">
        <v>11</v>
      </c>
      <c r="DF36" t="s">
        <v>11</v>
      </c>
      <c r="DG36" t="s">
        <v>12</v>
      </c>
      <c r="DH36" t="s">
        <v>3</v>
      </c>
      <c r="DI36" t="s">
        <v>12</v>
      </c>
      <c r="DJ36" t="s">
        <v>11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42</v>
      </c>
      <c r="DW36" t="s">
        <v>44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50663971</v>
      </c>
      <c r="EF36">
        <v>2</v>
      </c>
      <c r="EG36" t="s">
        <v>22</v>
      </c>
      <c r="EH36">
        <v>0</v>
      </c>
      <c r="EI36" t="s">
        <v>3</v>
      </c>
      <c r="EJ36">
        <v>1</v>
      </c>
      <c r="EK36">
        <v>33001</v>
      </c>
      <c r="EL36" t="s">
        <v>23</v>
      </c>
      <c r="EM36" t="s">
        <v>24</v>
      </c>
      <c r="EO36" t="s">
        <v>3</v>
      </c>
      <c r="EQ36">
        <v>0</v>
      </c>
      <c r="ER36">
        <v>10595.66</v>
      </c>
      <c r="ES36">
        <v>6959.32</v>
      </c>
      <c r="ET36">
        <v>3131.38</v>
      </c>
      <c r="EU36">
        <v>388.16</v>
      </c>
      <c r="EV36">
        <v>504.96</v>
      </c>
      <c r="EW36">
        <v>65.239999999999995</v>
      </c>
      <c r="EX36">
        <v>37.18</v>
      </c>
      <c r="EY36">
        <v>0</v>
      </c>
      <c r="FQ36">
        <v>0</v>
      </c>
      <c r="FR36">
        <f t="shared" si="54"/>
        <v>0</v>
      </c>
      <c r="FS36">
        <v>0</v>
      </c>
      <c r="FU36" t="s">
        <v>25</v>
      </c>
      <c r="FX36">
        <v>105</v>
      </c>
      <c r="FY36">
        <v>51</v>
      </c>
      <c r="GA36" t="s">
        <v>3</v>
      </c>
      <c r="GD36">
        <v>1</v>
      </c>
      <c r="GF36">
        <v>355704850</v>
      </c>
      <c r="GG36">
        <v>2</v>
      </c>
      <c r="GH36">
        <v>1</v>
      </c>
      <c r="GI36">
        <v>-2</v>
      </c>
      <c r="GJ36">
        <v>0</v>
      </c>
      <c r="GK36">
        <v>0</v>
      </c>
      <c r="GL36">
        <f t="shared" si="55"/>
        <v>0</v>
      </c>
      <c r="GM36">
        <f t="shared" si="56"/>
        <v>1560.92</v>
      </c>
      <c r="GN36">
        <f t="shared" si="57"/>
        <v>1560.92</v>
      </c>
      <c r="GO36">
        <f t="shared" si="58"/>
        <v>0</v>
      </c>
      <c r="GP36">
        <f t="shared" si="59"/>
        <v>0</v>
      </c>
      <c r="GR36">
        <v>0</v>
      </c>
      <c r="GS36">
        <v>3</v>
      </c>
      <c r="GT36">
        <v>0</v>
      </c>
      <c r="GU36" t="s">
        <v>3</v>
      </c>
      <c r="GV36">
        <f t="shared" si="60"/>
        <v>0</v>
      </c>
      <c r="GW36">
        <v>1</v>
      </c>
      <c r="GX36">
        <f t="shared" si="61"/>
        <v>0</v>
      </c>
      <c r="HA36">
        <v>0</v>
      </c>
      <c r="HB36">
        <v>0</v>
      </c>
      <c r="HC36">
        <f t="shared" si="62"/>
        <v>0</v>
      </c>
      <c r="HE36" t="s">
        <v>3</v>
      </c>
      <c r="HF36" t="s">
        <v>3</v>
      </c>
      <c r="IK36">
        <v>0</v>
      </c>
    </row>
    <row r="37" spans="1:245" x14ac:dyDescent="0.2">
      <c r="A37">
        <v>18</v>
      </c>
      <c r="B37">
        <v>1</v>
      </c>
      <c r="C37">
        <v>37</v>
      </c>
      <c r="E37" t="s">
        <v>45</v>
      </c>
      <c r="F37" t="s">
        <v>46</v>
      </c>
      <c r="G37" t="s">
        <v>47</v>
      </c>
      <c r="H37" t="s">
        <v>37</v>
      </c>
      <c r="I37">
        <f>I36*J37</f>
        <v>5</v>
      </c>
      <c r="J37">
        <v>42.016806722689076</v>
      </c>
      <c r="O37">
        <f t="shared" si="28"/>
        <v>178.05</v>
      </c>
      <c r="P37">
        <f t="shared" si="29"/>
        <v>178.05</v>
      </c>
      <c r="Q37">
        <f t="shared" si="30"/>
        <v>0</v>
      </c>
      <c r="R37">
        <f t="shared" si="31"/>
        <v>0</v>
      </c>
      <c r="S37">
        <f t="shared" si="32"/>
        <v>0</v>
      </c>
      <c r="T37">
        <f t="shared" si="33"/>
        <v>0</v>
      </c>
      <c r="U37">
        <f t="shared" si="34"/>
        <v>0</v>
      </c>
      <c r="V37">
        <f t="shared" si="35"/>
        <v>0</v>
      </c>
      <c r="W37">
        <f t="shared" si="36"/>
        <v>0</v>
      </c>
      <c r="X37">
        <f t="shared" si="37"/>
        <v>0</v>
      </c>
      <c r="Y37">
        <f t="shared" si="38"/>
        <v>0</v>
      </c>
      <c r="AA37">
        <v>52156631</v>
      </c>
      <c r="AB37">
        <f t="shared" si="39"/>
        <v>35.61</v>
      </c>
      <c r="AC37">
        <f t="shared" si="40"/>
        <v>35.61</v>
      </c>
      <c r="AD37">
        <f t="shared" ref="AD37:AD47" si="63">ROUND((((ET37)-(EU37))+AE37),2)</f>
        <v>0</v>
      </c>
      <c r="AE37">
        <f t="shared" ref="AE37:AE47" si="64">ROUND((EU37),2)</f>
        <v>0</v>
      </c>
      <c r="AF37">
        <f t="shared" ref="AF37:AF47" si="65">ROUND((EV37),2)</f>
        <v>0</v>
      </c>
      <c r="AG37">
        <f t="shared" si="41"/>
        <v>0</v>
      </c>
      <c r="AH37">
        <f t="shared" ref="AH37:AH47" si="66">(EW37)</f>
        <v>0</v>
      </c>
      <c r="AI37">
        <f t="shared" ref="AI37:AI47" si="67">(EX37)</f>
        <v>0</v>
      </c>
      <c r="AJ37">
        <f t="shared" si="42"/>
        <v>0</v>
      </c>
      <c r="AK37">
        <v>35.61</v>
      </c>
      <c r="AL37">
        <v>35.61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105</v>
      </c>
      <c r="AU37">
        <v>51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48</v>
      </c>
      <c r="BM37">
        <v>33001</v>
      </c>
      <c r="BN37">
        <v>0</v>
      </c>
      <c r="BO37" t="s">
        <v>3</v>
      </c>
      <c r="BP37">
        <v>0</v>
      </c>
      <c r="BQ37">
        <v>2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105</v>
      </c>
      <c r="CA37">
        <v>60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3"/>
        <v>178.05</v>
      </c>
      <c r="CQ37">
        <f t="shared" si="44"/>
        <v>35.61</v>
      </c>
      <c r="CR37">
        <f t="shared" si="45"/>
        <v>0</v>
      </c>
      <c r="CS37">
        <f t="shared" si="46"/>
        <v>0</v>
      </c>
      <c r="CT37">
        <f t="shared" si="47"/>
        <v>0</v>
      </c>
      <c r="CU37">
        <f t="shared" si="48"/>
        <v>0</v>
      </c>
      <c r="CV37">
        <f t="shared" si="49"/>
        <v>0</v>
      </c>
      <c r="CW37">
        <f t="shared" si="50"/>
        <v>0</v>
      </c>
      <c r="CX37">
        <f t="shared" si="51"/>
        <v>0</v>
      </c>
      <c r="CY37">
        <f t="shared" si="52"/>
        <v>0</v>
      </c>
      <c r="CZ37">
        <f t="shared" si="53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1010</v>
      </c>
      <c r="DV37" t="s">
        <v>37</v>
      </c>
      <c r="DW37" t="s">
        <v>37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50663971</v>
      </c>
      <c r="EF37">
        <v>2</v>
      </c>
      <c r="EG37" t="s">
        <v>22</v>
      </c>
      <c r="EH37">
        <v>0</v>
      </c>
      <c r="EI37" t="s">
        <v>3</v>
      </c>
      <c r="EJ37">
        <v>1</v>
      </c>
      <c r="EK37">
        <v>33001</v>
      </c>
      <c r="EL37" t="s">
        <v>23</v>
      </c>
      <c r="EM37" t="s">
        <v>24</v>
      </c>
      <c r="EO37" t="s">
        <v>3</v>
      </c>
      <c r="EQ37">
        <v>0</v>
      </c>
      <c r="ER37">
        <v>35.61</v>
      </c>
      <c r="ES37">
        <v>35.61</v>
      </c>
      <c r="ET37">
        <v>0</v>
      </c>
      <c r="EU37">
        <v>0</v>
      </c>
      <c r="EV37">
        <v>0</v>
      </c>
      <c r="EW37">
        <v>0</v>
      </c>
      <c r="EX37">
        <v>0</v>
      </c>
      <c r="EZ37">
        <v>5</v>
      </c>
      <c r="FC37">
        <v>1</v>
      </c>
      <c r="FD37">
        <v>18</v>
      </c>
      <c r="FF37">
        <v>343.97</v>
      </c>
      <c r="FQ37">
        <v>0</v>
      </c>
      <c r="FR37">
        <f t="shared" si="54"/>
        <v>0</v>
      </c>
      <c r="FS37">
        <v>0</v>
      </c>
      <c r="FU37" t="s">
        <v>25</v>
      </c>
      <c r="FX37">
        <v>105</v>
      </c>
      <c r="FY37">
        <v>51</v>
      </c>
      <c r="GA37" t="s">
        <v>49</v>
      </c>
      <c r="GD37">
        <v>1</v>
      </c>
      <c r="GF37">
        <v>85627560</v>
      </c>
      <c r="GG37">
        <v>2</v>
      </c>
      <c r="GH37">
        <v>3</v>
      </c>
      <c r="GI37">
        <v>3</v>
      </c>
      <c r="GJ37">
        <v>0</v>
      </c>
      <c r="GK37">
        <v>0</v>
      </c>
      <c r="GL37">
        <f t="shared" si="55"/>
        <v>0</v>
      </c>
      <c r="GM37">
        <f t="shared" si="56"/>
        <v>178.05</v>
      </c>
      <c r="GN37">
        <f t="shared" si="57"/>
        <v>178.05</v>
      </c>
      <c r="GO37">
        <f t="shared" si="58"/>
        <v>0</v>
      </c>
      <c r="GP37">
        <f t="shared" si="59"/>
        <v>0</v>
      </c>
      <c r="GR37">
        <v>1</v>
      </c>
      <c r="GS37">
        <v>1</v>
      </c>
      <c r="GT37">
        <v>0</v>
      </c>
      <c r="GU37" t="s">
        <v>3</v>
      </c>
      <c r="GV37">
        <f t="shared" si="60"/>
        <v>0</v>
      </c>
      <c r="GW37">
        <v>1</v>
      </c>
      <c r="GX37">
        <f t="shared" si="61"/>
        <v>0</v>
      </c>
      <c r="HA37">
        <v>0</v>
      </c>
      <c r="HB37">
        <v>0</v>
      </c>
      <c r="HC37">
        <f t="shared" si="62"/>
        <v>0</v>
      </c>
      <c r="HE37" t="s">
        <v>26</v>
      </c>
      <c r="HF37" t="s">
        <v>50</v>
      </c>
      <c r="IK37">
        <v>0</v>
      </c>
    </row>
    <row r="38" spans="1:245" x14ac:dyDescent="0.2">
      <c r="A38">
        <v>18</v>
      </c>
      <c r="B38">
        <v>1</v>
      </c>
      <c r="C38">
        <v>38</v>
      </c>
      <c r="E38" t="s">
        <v>51</v>
      </c>
      <c r="F38" t="s">
        <v>52</v>
      </c>
      <c r="G38" t="s">
        <v>53</v>
      </c>
      <c r="H38" t="s">
        <v>37</v>
      </c>
      <c r="I38">
        <f>I36*J38</f>
        <v>5</v>
      </c>
      <c r="J38">
        <v>42.016806722689076</v>
      </c>
      <c r="O38">
        <f t="shared" si="28"/>
        <v>59.6</v>
      </c>
      <c r="P38">
        <f t="shared" si="29"/>
        <v>59.6</v>
      </c>
      <c r="Q38">
        <f t="shared" si="30"/>
        <v>0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52156631</v>
      </c>
      <c r="AB38">
        <f t="shared" si="39"/>
        <v>11.92</v>
      </c>
      <c r="AC38">
        <f t="shared" si="40"/>
        <v>11.92</v>
      </c>
      <c r="AD38">
        <f t="shared" si="63"/>
        <v>0</v>
      </c>
      <c r="AE38">
        <f t="shared" si="64"/>
        <v>0</v>
      </c>
      <c r="AF38">
        <f t="shared" si="65"/>
        <v>0</v>
      </c>
      <c r="AG38">
        <f t="shared" si="41"/>
        <v>0</v>
      </c>
      <c r="AH38">
        <f t="shared" si="66"/>
        <v>0</v>
      </c>
      <c r="AI38">
        <f t="shared" si="67"/>
        <v>0</v>
      </c>
      <c r="AJ38">
        <f t="shared" si="42"/>
        <v>0</v>
      </c>
      <c r="AK38">
        <v>11.92</v>
      </c>
      <c r="AL38">
        <v>11.92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105</v>
      </c>
      <c r="AU38">
        <v>51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1</v>
      </c>
      <c r="BJ38" t="s">
        <v>48</v>
      </c>
      <c r="BM38">
        <v>33001</v>
      </c>
      <c r="BN38">
        <v>0</v>
      </c>
      <c r="BO38" t="s">
        <v>3</v>
      </c>
      <c r="BP38">
        <v>0</v>
      </c>
      <c r="BQ38">
        <v>2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105</v>
      </c>
      <c r="CA38">
        <v>60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3"/>
        <v>59.6</v>
      </c>
      <c r="CQ38">
        <f t="shared" si="44"/>
        <v>11.92</v>
      </c>
      <c r="CR38">
        <f t="shared" si="45"/>
        <v>0</v>
      </c>
      <c r="CS38">
        <f t="shared" si="46"/>
        <v>0</v>
      </c>
      <c r="CT38">
        <f t="shared" si="47"/>
        <v>0</v>
      </c>
      <c r="CU38">
        <f t="shared" si="48"/>
        <v>0</v>
      </c>
      <c r="CV38">
        <f t="shared" si="49"/>
        <v>0</v>
      </c>
      <c r="CW38">
        <f t="shared" si="50"/>
        <v>0</v>
      </c>
      <c r="CX38">
        <f t="shared" si="51"/>
        <v>0</v>
      </c>
      <c r="CY38">
        <f t="shared" si="52"/>
        <v>0</v>
      </c>
      <c r="CZ38">
        <f t="shared" si="53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1010</v>
      </c>
      <c r="DV38" t="s">
        <v>37</v>
      </c>
      <c r="DW38" t="s">
        <v>37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50663971</v>
      </c>
      <c r="EF38">
        <v>2</v>
      </c>
      <c r="EG38" t="s">
        <v>22</v>
      </c>
      <c r="EH38">
        <v>0</v>
      </c>
      <c r="EI38" t="s">
        <v>3</v>
      </c>
      <c r="EJ38">
        <v>1</v>
      </c>
      <c r="EK38">
        <v>33001</v>
      </c>
      <c r="EL38" t="s">
        <v>23</v>
      </c>
      <c r="EM38" t="s">
        <v>24</v>
      </c>
      <c r="EO38" t="s">
        <v>3</v>
      </c>
      <c r="EQ38">
        <v>0</v>
      </c>
      <c r="ER38">
        <v>11.92</v>
      </c>
      <c r="ES38">
        <v>11.92</v>
      </c>
      <c r="ET38">
        <v>0</v>
      </c>
      <c r="EU38">
        <v>0</v>
      </c>
      <c r="EV38">
        <v>0</v>
      </c>
      <c r="EW38">
        <v>0</v>
      </c>
      <c r="EX38">
        <v>0</v>
      </c>
      <c r="EZ38">
        <v>5</v>
      </c>
      <c r="FC38">
        <v>1</v>
      </c>
      <c r="FD38">
        <v>18</v>
      </c>
      <c r="FF38">
        <v>115.13</v>
      </c>
      <c r="FQ38">
        <v>0</v>
      </c>
      <c r="FR38">
        <f t="shared" si="54"/>
        <v>0</v>
      </c>
      <c r="FS38">
        <v>0</v>
      </c>
      <c r="FU38" t="s">
        <v>25</v>
      </c>
      <c r="FX38">
        <v>105</v>
      </c>
      <c r="FY38">
        <v>51</v>
      </c>
      <c r="GA38" t="s">
        <v>54</v>
      </c>
      <c r="GD38">
        <v>1</v>
      </c>
      <c r="GF38">
        <v>-1506632408</v>
      </c>
      <c r="GG38">
        <v>2</v>
      </c>
      <c r="GH38">
        <v>3</v>
      </c>
      <c r="GI38">
        <v>3</v>
      </c>
      <c r="GJ38">
        <v>0</v>
      </c>
      <c r="GK38">
        <v>0</v>
      </c>
      <c r="GL38">
        <f t="shared" si="55"/>
        <v>0</v>
      </c>
      <c r="GM38">
        <f t="shared" si="56"/>
        <v>59.6</v>
      </c>
      <c r="GN38">
        <f t="shared" si="57"/>
        <v>59.6</v>
      </c>
      <c r="GO38">
        <f t="shared" si="58"/>
        <v>0</v>
      </c>
      <c r="GP38">
        <f t="shared" si="59"/>
        <v>0</v>
      </c>
      <c r="GR38">
        <v>1</v>
      </c>
      <c r="GS38">
        <v>1</v>
      </c>
      <c r="GT38">
        <v>0</v>
      </c>
      <c r="GU38" t="s">
        <v>3</v>
      </c>
      <c r="GV38">
        <f t="shared" si="60"/>
        <v>0</v>
      </c>
      <c r="GW38">
        <v>1</v>
      </c>
      <c r="GX38">
        <f t="shared" si="61"/>
        <v>0</v>
      </c>
      <c r="HA38">
        <v>0</v>
      </c>
      <c r="HB38">
        <v>0</v>
      </c>
      <c r="HC38">
        <f t="shared" si="62"/>
        <v>0</v>
      </c>
      <c r="HE38" t="s">
        <v>26</v>
      </c>
      <c r="HF38" t="s">
        <v>50</v>
      </c>
      <c r="IK38">
        <v>0</v>
      </c>
    </row>
    <row r="39" spans="1:245" x14ac:dyDescent="0.2">
      <c r="A39">
        <v>18</v>
      </c>
      <c r="B39">
        <v>1</v>
      </c>
      <c r="C39">
        <v>39</v>
      </c>
      <c r="E39" t="s">
        <v>55</v>
      </c>
      <c r="F39" t="s">
        <v>56</v>
      </c>
      <c r="G39" t="s">
        <v>57</v>
      </c>
      <c r="H39" t="s">
        <v>37</v>
      </c>
      <c r="I39">
        <f>I36*J39</f>
        <v>8</v>
      </c>
      <c r="J39">
        <v>67.226890756302524</v>
      </c>
      <c r="O39">
        <f t="shared" si="28"/>
        <v>197.6</v>
      </c>
      <c r="P39">
        <f t="shared" si="29"/>
        <v>197.6</v>
      </c>
      <c r="Q39">
        <f t="shared" si="30"/>
        <v>0</v>
      </c>
      <c r="R39">
        <f t="shared" si="31"/>
        <v>0</v>
      </c>
      <c r="S39">
        <f t="shared" si="32"/>
        <v>0</v>
      </c>
      <c r="T39">
        <f t="shared" si="33"/>
        <v>0</v>
      </c>
      <c r="U39">
        <f t="shared" si="34"/>
        <v>0</v>
      </c>
      <c r="V39">
        <f t="shared" si="35"/>
        <v>0</v>
      </c>
      <c r="W39">
        <f t="shared" si="36"/>
        <v>0</v>
      </c>
      <c r="X39">
        <f t="shared" si="37"/>
        <v>0</v>
      </c>
      <c r="Y39">
        <f t="shared" si="38"/>
        <v>0</v>
      </c>
      <c r="AA39">
        <v>52156631</v>
      </c>
      <c r="AB39">
        <f t="shared" si="39"/>
        <v>24.7</v>
      </c>
      <c r="AC39">
        <f t="shared" si="40"/>
        <v>24.7</v>
      </c>
      <c r="AD39">
        <f t="shared" si="63"/>
        <v>0</v>
      </c>
      <c r="AE39">
        <f t="shared" si="64"/>
        <v>0</v>
      </c>
      <c r="AF39">
        <f t="shared" si="65"/>
        <v>0</v>
      </c>
      <c r="AG39">
        <f t="shared" si="41"/>
        <v>0</v>
      </c>
      <c r="AH39">
        <f t="shared" si="66"/>
        <v>0</v>
      </c>
      <c r="AI39">
        <f t="shared" si="67"/>
        <v>0</v>
      </c>
      <c r="AJ39">
        <f t="shared" si="42"/>
        <v>0</v>
      </c>
      <c r="AK39">
        <v>24.7</v>
      </c>
      <c r="AL39">
        <v>24.7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105</v>
      </c>
      <c r="AU39">
        <v>51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1</v>
      </c>
      <c r="BJ39" t="s">
        <v>48</v>
      </c>
      <c r="BM39">
        <v>33001</v>
      </c>
      <c r="BN39">
        <v>0</v>
      </c>
      <c r="BO39" t="s">
        <v>3</v>
      </c>
      <c r="BP39">
        <v>0</v>
      </c>
      <c r="BQ39">
        <v>2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105</v>
      </c>
      <c r="CA39">
        <v>60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3"/>
        <v>197.6</v>
      </c>
      <c r="CQ39">
        <f t="shared" si="44"/>
        <v>24.7</v>
      </c>
      <c r="CR39">
        <f t="shared" si="45"/>
        <v>0</v>
      </c>
      <c r="CS39">
        <f t="shared" si="46"/>
        <v>0</v>
      </c>
      <c r="CT39">
        <f t="shared" si="47"/>
        <v>0</v>
      </c>
      <c r="CU39">
        <f t="shared" si="48"/>
        <v>0</v>
      </c>
      <c r="CV39">
        <f t="shared" si="49"/>
        <v>0</v>
      </c>
      <c r="CW39">
        <f t="shared" si="50"/>
        <v>0</v>
      </c>
      <c r="CX39">
        <f t="shared" si="51"/>
        <v>0</v>
      </c>
      <c r="CY39">
        <f t="shared" si="52"/>
        <v>0</v>
      </c>
      <c r="CZ39">
        <f t="shared" si="53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37</v>
      </c>
      <c r="DW39" t="s">
        <v>37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50663971</v>
      </c>
      <c r="EF39">
        <v>2</v>
      </c>
      <c r="EG39" t="s">
        <v>22</v>
      </c>
      <c r="EH39">
        <v>0</v>
      </c>
      <c r="EI39" t="s">
        <v>3</v>
      </c>
      <c r="EJ39">
        <v>1</v>
      </c>
      <c r="EK39">
        <v>33001</v>
      </c>
      <c r="EL39" t="s">
        <v>23</v>
      </c>
      <c r="EM39" t="s">
        <v>24</v>
      </c>
      <c r="EO39" t="s">
        <v>3</v>
      </c>
      <c r="EQ39">
        <v>0</v>
      </c>
      <c r="ER39">
        <v>24.7</v>
      </c>
      <c r="ES39">
        <v>24.7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1</v>
      </c>
      <c r="FD39">
        <v>18</v>
      </c>
      <c r="FF39">
        <v>238.6</v>
      </c>
      <c r="FQ39">
        <v>0</v>
      </c>
      <c r="FR39">
        <f t="shared" si="54"/>
        <v>0</v>
      </c>
      <c r="FS39">
        <v>0</v>
      </c>
      <c r="FU39" t="s">
        <v>25</v>
      </c>
      <c r="FX39">
        <v>105</v>
      </c>
      <c r="FY39">
        <v>51</v>
      </c>
      <c r="GA39" t="s">
        <v>58</v>
      </c>
      <c r="GD39">
        <v>1</v>
      </c>
      <c r="GF39">
        <v>-1765541741</v>
      </c>
      <c r="GG39">
        <v>2</v>
      </c>
      <c r="GH39">
        <v>3</v>
      </c>
      <c r="GI39">
        <v>3</v>
      </c>
      <c r="GJ39">
        <v>0</v>
      </c>
      <c r="GK39">
        <v>0</v>
      </c>
      <c r="GL39">
        <f t="shared" si="55"/>
        <v>0</v>
      </c>
      <c r="GM39">
        <f t="shared" si="56"/>
        <v>197.6</v>
      </c>
      <c r="GN39">
        <f t="shared" si="57"/>
        <v>197.6</v>
      </c>
      <c r="GO39">
        <f t="shared" si="58"/>
        <v>0</v>
      </c>
      <c r="GP39">
        <f t="shared" si="59"/>
        <v>0</v>
      </c>
      <c r="GR39">
        <v>1</v>
      </c>
      <c r="GS39">
        <v>1</v>
      </c>
      <c r="GT39">
        <v>0</v>
      </c>
      <c r="GU39" t="s">
        <v>3</v>
      </c>
      <c r="GV39">
        <f t="shared" si="60"/>
        <v>0</v>
      </c>
      <c r="GW39">
        <v>1</v>
      </c>
      <c r="GX39">
        <f t="shared" si="61"/>
        <v>0</v>
      </c>
      <c r="HA39">
        <v>0</v>
      </c>
      <c r="HB39">
        <v>0</v>
      </c>
      <c r="HC39">
        <f t="shared" si="62"/>
        <v>0</v>
      </c>
      <c r="HE39" t="s">
        <v>26</v>
      </c>
      <c r="HF39" t="s">
        <v>50</v>
      </c>
      <c r="IK39">
        <v>0</v>
      </c>
    </row>
    <row r="40" spans="1:245" x14ac:dyDescent="0.2">
      <c r="A40">
        <v>18</v>
      </c>
      <c r="B40">
        <v>1</v>
      </c>
      <c r="C40">
        <v>40</v>
      </c>
      <c r="E40" t="s">
        <v>59</v>
      </c>
      <c r="F40" t="s">
        <v>60</v>
      </c>
      <c r="G40" t="s">
        <v>61</v>
      </c>
      <c r="H40" t="s">
        <v>37</v>
      </c>
      <c r="I40">
        <f>I36*J40</f>
        <v>15</v>
      </c>
      <c r="J40">
        <v>126.05042016806723</v>
      </c>
      <c r="O40">
        <f t="shared" si="28"/>
        <v>326.55</v>
      </c>
      <c r="P40">
        <f t="shared" si="29"/>
        <v>326.55</v>
      </c>
      <c r="Q40">
        <f t="shared" si="30"/>
        <v>0</v>
      </c>
      <c r="R40">
        <f t="shared" si="31"/>
        <v>0</v>
      </c>
      <c r="S40">
        <f t="shared" si="32"/>
        <v>0</v>
      </c>
      <c r="T40">
        <f t="shared" si="33"/>
        <v>0</v>
      </c>
      <c r="U40">
        <f t="shared" si="34"/>
        <v>0</v>
      </c>
      <c r="V40">
        <f t="shared" si="35"/>
        <v>0</v>
      </c>
      <c r="W40">
        <f t="shared" si="36"/>
        <v>0</v>
      </c>
      <c r="X40">
        <f t="shared" si="37"/>
        <v>0</v>
      </c>
      <c r="Y40">
        <f t="shared" si="38"/>
        <v>0</v>
      </c>
      <c r="AA40">
        <v>52156631</v>
      </c>
      <c r="AB40">
        <f t="shared" si="39"/>
        <v>21.77</v>
      </c>
      <c r="AC40">
        <f t="shared" si="40"/>
        <v>21.77</v>
      </c>
      <c r="AD40">
        <f t="shared" si="63"/>
        <v>0</v>
      </c>
      <c r="AE40">
        <f t="shared" si="64"/>
        <v>0</v>
      </c>
      <c r="AF40">
        <f t="shared" si="65"/>
        <v>0</v>
      </c>
      <c r="AG40">
        <f t="shared" si="41"/>
        <v>0</v>
      </c>
      <c r="AH40">
        <f t="shared" si="66"/>
        <v>0</v>
      </c>
      <c r="AI40">
        <f t="shared" si="67"/>
        <v>0</v>
      </c>
      <c r="AJ40">
        <f t="shared" si="42"/>
        <v>0</v>
      </c>
      <c r="AK40">
        <v>21.77</v>
      </c>
      <c r="AL40">
        <v>21.77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105</v>
      </c>
      <c r="AU40">
        <v>51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1</v>
      </c>
      <c r="BJ40" t="s">
        <v>48</v>
      </c>
      <c r="BM40">
        <v>33001</v>
      </c>
      <c r="BN40">
        <v>0</v>
      </c>
      <c r="BO40" t="s">
        <v>3</v>
      </c>
      <c r="BP40">
        <v>0</v>
      </c>
      <c r="BQ40">
        <v>2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105</v>
      </c>
      <c r="CA40">
        <v>60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3"/>
        <v>326.55</v>
      </c>
      <c r="CQ40">
        <f t="shared" si="44"/>
        <v>21.77</v>
      </c>
      <c r="CR40">
        <f t="shared" si="45"/>
        <v>0</v>
      </c>
      <c r="CS40">
        <f t="shared" si="46"/>
        <v>0</v>
      </c>
      <c r="CT40">
        <f t="shared" si="47"/>
        <v>0</v>
      </c>
      <c r="CU40">
        <f t="shared" si="48"/>
        <v>0</v>
      </c>
      <c r="CV40">
        <f t="shared" si="49"/>
        <v>0</v>
      </c>
      <c r="CW40">
        <f t="shared" si="50"/>
        <v>0</v>
      </c>
      <c r="CX40">
        <f t="shared" si="51"/>
        <v>0</v>
      </c>
      <c r="CY40">
        <f t="shared" si="52"/>
        <v>0</v>
      </c>
      <c r="CZ40">
        <f t="shared" si="53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37</v>
      </c>
      <c r="DW40" t="s">
        <v>37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50663971</v>
      </c>
      <c r="EF40">
        <v>2</v>
      </c>
      <c r="EG40" t="s">
        <v>22</v>
      </c>
      <c r="EH40">
        <v>0</v>
      </c>
      <c r="EI40" t="s">
        <v>3</v>
      </c>
      <c r="EJ40">
        <v>1</v>
      </c>
      <c r="EK40">
        <v>33001</v>
      </c>
      <c r="EL40" t="s">
        <v>23</v>
      </c>
      <c r="EM40" t="s">
        <v>24</v>
      </c>
      <c r="EO40" t="s">
        <v>3</v>
      </c>
      <c r="EQ40">
        <v>0</v>
      </c>
      <c r="ER40">
        <v>21.77</v>
      </c>
      <c r="ES40">
        <v>21.77</v>
      </c>
      <c r="ET40">
        <v>0</v>
      </c>
      <c r="EU40">
        <v>0</v>
      </c>
      <c r="EV40">
        <v>0</v>
      </c>
      <c r="EW40">
        <v>0</v>
      </c>
      <c r="EX40">
        <v>0</v>
      </c>
      <c r="EZ40">
        <v>5</v>
      </c>
      <c r="FC40">
        <v>1</v>
      </c>
      <c r="FD40">
        <v>18</v>
      </c>
      <c r="FF40">
        <v>210.25</v>
      </c>
      <c r="FQ40">
        <v>0</v>
      </c>
      <c r="FR40">
        <f t="shared" si="54"/>
        <v>0</v>
      </c>
      <c r="FS40">
        <v>0</v>
      </c>
      <c r="FU40" t="s">
        <v>25</v>
      </c>
      <c r="FX40">
        <v>105</v>
      </c>
      <c r="FY40">
        <v>51</v>
      </c>
      <c r="GA40" t="s">
        <v>62</v>
      </c>
      <c r="GD40">
        <v>1</v>
      </c>
      <c r="GF40">
        <v>801659528</v>
      </c>
      <c r="GG40">
        <v>2</v>
      </c>
      <c r="GH40">
        <v>3</v>
      </c>
      <c r="GI40">
        <v>3</v>
      </c>
      <c r="GJ40">
        <v>0</v>
      </c>
      <c r="GK40">
        <v>0</v>
      </c>
      <c r="GL40">
        <f t="shared" si="55"/>
        <v>0</v>
      </c>
      <c r="GM40">
        <f t="shared" si="56"/>
        <v>326.55</v>
      </c>
      <c r="GN40">
        <f t="shared" si="57"/>
        <v>326.55</v>
      </c>
      <c r="GO40">
        <f t="shared" si="58"/>
        <v>0</v>
      </c>
      <c r="GP40">
        <f t="shared" si="59"/>
        <v>0</v>
      </c>
      <c r="GR40">
        <v>1</v>
      </c>
      <c r="GS40">
        <v>1</v>
      </c>
      <c r="GT40">
        <v>0</v>
      </c>
      <c r="GU40" t="s">
        <v>3</v>
      </c>
      <c r="GV40">
        <f t="shared" si="60"/>
        <v>0</v>
      </c>
      <c r="GW40">
        <v>1</v>
      </c>
      <c r="GX40">
        <f t="shared" si="61"/>
        <v>0</v>
      </c>
      <c r="HA40">
        <v>0</v>
      </c>
      <c r="HB40">
        <v>0</v>
      </c>
      <c r="HC40">
        <f t="shared" si="62"/>
        <v>0</v>
      </c>
      <c r="HE40" t="s">
        <v>26</v>
      </c>
      <c r="HF40" t="s">
        <v>50</v>
      </c>
      <c r="IK40">
        <v>0</v>
      </c>
    </row>
    <row r="41" spans="1:245" x14ac:dyDescent="0.2">
      <c r="A41">
        <v>18</v>
      </c>
      <c r="B41">
        <v>1</v>
      </c>
      <c r="C41">
        <v>32</v>
      </c>
      <c r="E41" t="s">
        <v>63</v>
      </c>
      <c r="F41" t="s">
        <v>64</v>
      </c>
      <c r="G41" t="s">
        <v>65</v>
      </c>
      <c r="H41" t="s">
        <v>37</v>
      </c>
      <c r="I41">
        <f>I36*J41</f>
        <v>12</v>
      </c>
      <c r="J41">
        <v>100.84033613445379</v>
      </c>
      <c r="O41">
        <f t="shared" si="28"/>
        <v>24.72</v>
      </c>
      <c r="P41">
        <f t="shared" si="29"/>
        <v>24.72</v>
      </c>
      <c r="Q41">
        <f t="shared" si="30"/>
        <v>0</v>
      </c>
      <c r="R41">
        <f t="shared" si="31"/>
        <v>0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52156631</v>
      </c>
      <c r="AB41">
        <f t="shared" si="39"/>
        <v>2.06</v>
      </c>
      <c r="AC41">
        <f t="shared" si="40"/>
        <v>2.06</v>
      </c>
      <c r="AD41">
        <f t="shared" si="63"/>
        <v>0</v>
      </c>
      <c r="AE41">
        <f t="shared" si="64"/>
        <v>0</v>
      </c>
      <c r="AF41">
        <f t="shared" si="65"/>
        <v>0</v>
      </c>
      <c r="AG41">
        <f t="shared" si="41"/>
        <v>0</v>
      </c>
      <c r="AH41">
        <f t="shared" si="66"/>
        <v>0</v>
      </c>
      <c r="AI41">
        <f t="shared" si="67"/>
        <v>0</v>
      </c>
      <c r="AJ41">
        <f t="shared" si="42"/>
        <v>0</v>
      </c>
      <c r="AK41">
        <v>2.06</v>
      </c>
      <c r="AL41">
        <v>2.06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48</v>
      </c>
      <c r="BM41">
        <v>500001</v>
      </c>
      <c r="BN41">
        <v>0</v>
      </c>
      <c r="BO41" t="s">
        <v>3</v>
      </c>
      <c r="BP41">
        <v>0</v>
      </c>
      <c r="BQ41">
        <v>8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3"/>
        <v>24.72</v>
      </c>
      <c r="CQ41">
        <f t="shared" si="44"/>
        <v>2.06</v>
      </c>
      <c r="CR41">
        <f t="shared" si="45"/>
        <v>0</v>
      </c>
      <c r="CS41">
        <f t="shared" si="46"/>
        <v>0</v>
      </c>
      <c r="CT41">
        <f t="shared" si="47"/>
        <v>0</v>
      </c>
      <c r="CU41">
        <f t="shared" si="48"/>
        <v>0</v>
      </c>
      <c r="CV41">
        <f t="shared" si="49"/>
        <v>0</v>
      </c>
      <c r="CW41">
        <f t="shared" si="50"/>
        <v>0</v>
      </c>
      <c r="CX41">
        <f t="shared" si="51"/>
        <v>0</v>
      </c>
      <c r="CY41">
        <f t="shared" si="52"/>
        <v>0</v>
      </c>
      <c r="CZ41">
        <f t="shared" si="53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1010</v>
      </c>
      <c r="DV41" t="s">
        <v>37</v>
      </c>
      <c r="DW41" t="s">
        <v>37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50663849</v>
      </c>
      <c r="EF41">
        <v>8</v>
      </c>
      <c r="EG41" t="s">
        <v>66</v>
      </c>
      <c r="EH41">
        <v>0</v>
      </c>
      <c r="EI41" t="s">
        <v>3</v>
      </c>
      <c r="EJ41">
        <v>1</v>
      </c>
      <c r="EK41">
        <v>500001</v>
      </c>
      <c r="EL41" t="s">
        <v>67</v>
      </c>
      <c r="EM41" t="s">
        <v>68</v>
      </c>
      <c r="EO41" t="s">
        <v>3</v>
      </c>
      <c r="EQ41">
        <v>0</v>
      </c>
      <c r="ER41">
        <v>2.06</v>
      </c>
      <c r="ES41">
        <v>2.06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4"/>
        <v>0</v>
      </c>
      <c r="FS41">
        <v>0</v>
      </c>
      <c r="FX41">
        <v>0</v>
      </c>
      <c r="FY41">
        <v>0</v>
      </c>
      <c r="GA41" t="s">
        <v>3</v>
      </c>
      <c r="GD41">
        <v>1</v>
      </c>
      <c r="GF41">
        <v>1980259496</v>
      </c>
      <c r="GG41">
        <v>2</v>
      </c>
      <c r="GH41">
        <v>1</v>
      </c>
      <c r="GI41">
        <v>-2</v>
      </c>
      <c r="GJ41">
        <v>0</v>
      </c>
      <c r="GK41">
        <v>0</v>
      </c>
      <c r="GL41">
        <f t="shared" si="55"/>
        <v>0</v>
      </c>
      <c r="GM41">
        <f t="shared" si="56"/>
        <v>24.72</v>
      </c>
      <c r="GN41">
        <f t="shared" si="57"/>
        <v>24.72</v>
      </c>
      <c r="GO41">
        <f t="shared" si="58"/>
        <v>0</v>
      </c>
      <c r="GP41">
        <f t="shared" si="59"/>
        <v>0</v>
      </c>
      <c r="GR41">
        <v>0</v>
      </c>
      <c r="GS41">
        <v>3</v>
      </c>
      <c r="GT41">
        <v>0</v>
      </c>
      <c r="GU41" t="s">
        <v>3</v>
      </c>
      <c r="GV41">
        <f t="shared" si="60"/>
        <v>0</v>
      </c>
      <c r="GW41">
        <v>1</v>
      </c>
      <c r="GX41">
        <f t="shared" si="61"/>
        <v>0</v>
      </c>
      <c r="HA41">
        <v>0</v>
      </c>
      <c r="HB41">
        <v>0</v>
      </c>
      <c r="HC41">
        <f t="shared" si="62"/>
        <v>0</v>
      </c>
      <c r="HE41" t="s">
        <v>3</v>
      </c>
      <c r="HF41" t="s">
        <v>3</v>
      </c>
      <c r="IK41">
        <v>0</v>
      </c>
    </row>
    <row r="42" spans="1:245" x14ac:dyDescent="0.2">
      <c r="A42">
        <v>18</v>
      </c>
      <c r="B42">
        <v>1</v>
      </c>
      <c r="C42">
        <v>28</v>
      </c>
      <c r="E42" t="s">
        <v>69</v>
      </c>
      <c r="F42" t="s">
        <v>70</v>
      </c>
      <c r="G42" t="s">
        <v>71</v>
      </c>
      <c r="H42" t="s">
        <v>37</v>
      </c>
      <c r="I42">
        <f>I36*J42</f>
        <v>2</v>
      </c>
      <c r="J42">
        <v>16.806722689075631</v>
      </c>
      <c r="O42">
        <f t="shared" si="28"/>
        <v>63.4</v>
      </c>
      <c r="P42">
        <f t="shared" si="29"/>
        <v>63.4</v>
      </c>
      <c r="Q42">
        <f t="shared" si="30"/>
        <v>0</v>
      </c>
      <c r="R42">
        <f t="shared" si="31"/>
        <v>0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52156631</v>
      </c>
      <c r="AB42">
        <f t="shared" si="39"/>
        <v>31.7</v>
      </c>
      <c r="AC42">
        <f t="shared" si="40"/>
        <v>31.7</v>
      </c>
      <c r="AD42">
        <f t="shared" si="63"/>
        <v>0</v>
      </c>
      <c r="AE42">
        <f t="shared" si="64"/>
        <v>0</v>
      </c>
      <c r="AF42">
        <f t="shared" si="65"/>
        <v>0</v>
      </c>
      <c r="AG42">
        <f t="shared" si="41"/>
        <v>0</v>
      </c>
      <c r="AH42">
        <f t="shared" si="66"/>
        <v>0</v>
      </c>
      <c r="AI42">
        <f t="shared" si="67"/>
        <v>0</v>
      </c>
      <c r="AJ42">
        <f t="shared" si="42"/>
        <v>0</v>
      </c>
      <c r="AK42">
        <v>31.7</v>
      </c>
      <c r="AL42">
        <v>31.7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1</v>
      </c>
      <c r="BJ42" t="s">
        <v>72</v>
      </c>
      <c r="BM42">
        <v>500001</v>
      </c>
      <c r="BN42">
        <v>0</v>
      </c>
      <c r="BO42" t="s">
        <v>3</v>
      </c>
      <c r="BP42">
        <v>0</v>
      </c>
      <c r="BQ42">
        <v>8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3"/>
        <v>63.4</v>
      </c>
      <c r="CQ42">
        <f t="shared" si="44"/>
        <v>31.7</v>
      </c>
      <c r="CR42">
        <f t="shared" si="45"/>
        <v>0</v>
      </c>
      <c r="CS42">
        <f t="shared" si="46"/>
        <v>0</v>
      </c>
      <c r="CT42">
        <f t="shared" si="47"/>
        <v>0</v>
      </c>
      <c r="CU42">
        <f t="shared" si="48"/>
        <v>0</v>
      </c>
      <c r="CV42">
        <f t="shared" si="49"/>
        <v>0</v>
      </c>
      <c r="CW42">
        <f t="shared" si="50"/>
        <v>0</v>
      </c>
      <c r="CX42">
        <f t="shared" si="51"/>
        <v>0</v>
      </c>
      <c r="CY42">
        <f t="shared" si="52"/>
        <v>0</v>
      </c>
      <c r="CZ42">
        <f t="shared" si="53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1010</v>
      </c>
      <c r="DV42" t="s">
        <v>37</v>
      </c>
      <c r="DW42" t="s">
        <v>37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50663849</v>
      </c>
      <c r="EF42">
        <v>8</v>
      </c>
      <c r="EG42" t="s">
        <v>66</v>
      </c>
      <c r="EH42">
        <v>0</v>
      </c>
      <c r="EI42" t="s">
        <v>3</v>
      </c>
      <c r="EJ42">
        <v>1</v>
      </c>
      <c r="EK42">
        <v>500001</v>
      </c>
      <c r="EL42" t="s">
        <v>67</v>
      </c>
      <c r="EM42" t="s">
        <v>68</v>
      </c>
      <c r="EO42" t="s">
        <v>3</v>
      </c>
      <c r="EQ42">
        <v>0</v>
      </c>
      <c r="ER42">
        <v>31.7</v>
      </c>
      <c r="ES42">
        <v>31.7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54"/>
        <v>0</v>
      </c>
      <c r="FS42">
        <v>0</v>
      </c>
      <c r="FX42">
        <v>0</v>
      </c>
      <c r="FY42">
        <v>0</v>
      </c>
      <c r="GA42" t="s">
        <v>3</v>
      </c>
      <c r="GD42">
        <v>1</v>
      </c>
      <c r="GF42">
        <v>-866973532</v>
      </c>
      <c r="GG42">
        <v>2</v>
      </c>
      <c r="GH42">
        <v>1</v>
      </c>
      <c r="GI42">
        <v>-2</v>
      </c>
      <c r="GJ42">
        <v>0</v>
      </c>
      <c r="GK42">
        <v>0</v>
      </c>
      <c r="GL42">
        <f t="shared" si="55"/>
        <v>0</v>
      </c>
      <c r="GM42">
        <f t="shared" si="56"/>
        <v>63.4</v>
      </c>
      <c r="GN42">
        <f t="shared" si="57"/>
        <v>63.4</v>
      </c>
      <c r="GO42">
        <f t="shared" si="58"/>
        <v>0</v>
      </c>
      <c r="GP42">
        <f t="shared" si="59"/>
        <v>0</v>
      </c>
      <c r="GR42">
        <v>0</v>
      </c>
      <c r="GS42">
        <v>3</v>
      </c>
      <c r="GT42">
        <v>0</v>
      </c>
      <c r="GU42" t="s">
        <v>3</v>
      </c>
      <c r="GV42">
        <f t="shared" si="60"/>
        <v>0</v>
      </c>
      <c r="GW42">
        <v>1</v>
      </c>
      <c r="GX42">
        <f t="shared" si="61"/>
        <v>0</v>
      </c>
      <c r="HA42">
        <v>0</v>
      </c>
      <c r="HB42">
        <v>0</v>
      </c>
      <c r="HC42">
        <f t="shared" si="62"/>
        <v>0</v>
      </c>
      <c r="HE42" t="s">
        <v>3</v>
      </c>
      <c r="HF42" t="s">
        <v>3</v>
      </c>
      <c r="IK42">
        <v>0</v>
      </c>
    </row>
    <row r="43" spans="1:245" x14ac:dyDescent="0.2">
      <c r="A43">
        <v>18</v>
      </c>
      <c r="B43">
        <v>1</v>
      </c>
      <c r="C43">
        <v>36</v>
      </c>
      <c r="E43" t="s">
        <v>73</v>
      </c>
      <c r="F43" t="s">
        <v>74</v>
      </c>
      <c r="G43" t="s">
        <v>75</v>
      </c>
      <c r="H43" t="s">
        <v>37</v>
      </c>
      <c r="I43">
        <f>I36*J43</f>
        <v>6</v>
      </c>
      <c r="J43">
        <v>50.420168067226896</v>
      </c>
      <c r="O43">
        <f t="shared" si="28"/>
        <v>69.599999999999994</v>
      </c>
      <c r="P43">
        <f t="shared" si="29"/>
        <v>69.599999999999994</v>
      </c>
      <c r="Q43">
        <f t="shared" si="30"/>
        <v>0</v>
      </c>
      <c r="R43">
        <f t="shared" si="31"/>
        <v>0</v>
      </c>
      <c r="S43">
        <f t="shared" si="32"/>
        <v>0</v>
      </c>
      <c r="T43">
        <f t="shared" si="33"/>
        <v>0</v>
      </c>
      <c r="U43">
        <f t="shared" si="34"/>
        <v>0</v>
      </c>
      <c r="V43">
        <f t="shared" si="35"/>
        <v>0</v>
      </c>
      <c r="W43">
        <f t="shared" si="36"/>
        <v>0</v>
      </c>
      <c r="X43">
        <f t="shared" si="37"/>
        <v>0</v>
      </c>
      <c r="Y43">
        <f t="shared" si="38"/>
        <v>0</v>
      </c>
      <c r="AA43">
        <v>52156631</v>
      </c>
      <c r="AB43">
        <f t="shared" si="39"/>
        <v>11.6</v>
      </c>
      <c r="AC43">
        <f t="shared" si="40"/>
        <v>11.6</v>
      </c>
      <c r="AD43">
        <f t="shared" si="63"/>
        <v>0</v>
      </c>
      <c r="AE43">
        <f t="shared" si="64"/>
        <v>0</v>
      </c>
      <c r="AF43">
        <f t="shared" si="65"/>
        <v>0</v>
      </c>
      <c r="AG43">
        <f t="shared" si="41"/>
        <v>0</v>
      </c>
      <c r="AH43">
        <f t="shared" si="66"/>
        <v>0</v>
      </c>
      <c r="AI43">
        <f t="shared" si="67"/>
        <v>0</v>
      </c>
      <c r="AJ43">
        <f t="shared" si="42"/>
        <v>0</v>
      </c>
      <c r="AK43">
        <v>11.6</v>
      </c>
      <c r="AL43">
        <v>11.6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2</v>
      </c>
      <c r="BJ43" t="s">
        <v>76</v>
      </c>
      <c r="BM43">
        <v>500002</v>
      </c>
      <c r="BN43">
        <v>0</v>
      </c>
      <c r="BO43" t="s">
        <v>3</v>
      </c>
      <c r="BP43">
        <v>0</v>
      </c>
      <c r="BQ43">
        <v>12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0</v>
      </c>
      <c r="CA43">
        <v>0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3"/>
        <v>69.599999999999994</v>
      </c>
      <c r="CQ43">
        <f t="shared" si="44"/>
        <v>11.6</v>
      </c>
      <c r="CR43">
        <f t="shared" si="45"/>
        <v>0</v>
      </c>
      <c r="CS43">
        <f t="shared" si="46"/>
        <v>0</v>
      </c>
      <c r="CT43">
        <f t="shared" si="47"/>
        <v>0</v>
      </c>
      <c r="CU43">
        <f t="shared" si="48"/>
        <v>0</v>
      </c>
      <c r="CV43">
        <f t="shared" si="49"/>
        <v>0</v>
      </c>
      <c r="CW43">
        <f t="shared" si="50"/>
        <v>0</v>
      </c>
      <c r="CX43">
        <f t="shared" si="51"/>
        <v>0</v>
      </c>
      <c r="CY43">
        <f t="shared" si="52"/>
        <v>0</v>
      </c>
      <c r="CZ43">
        <f t="shared" si="53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37</v>
      </c>
      <c r="DW43" t="s">
        <v>37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50663850</v>
      </c>
      <c r="EF43">
        <v>12</v>
      </c>
      <c r="EG43" t="s">
        <v>77</v>
      </c>
      <c r="EH43">
        <v>0</v>
      </c>
      <c r="EI43" t="s">
        <v>3</v>
      </c>
      <c r="EJ43">
        <v>2</v>
      </c>
      <c r="EK43">
        <v>500002</v>
      </c>
      <c r="EL43" t="s">
        <v>78</v>
      </c>
      <c r="EM43" t="s">
        <v>79</v>
      </c>
      <c r="EO43" t="s">
        <v>3</v>
      </c>
      <c r="EQ43">
        <v>0</v>
      </c>
      <c r="ER43">
        <v>11.6</v>
      </c>
      <c r="ES43">
        <v>11.6</v>
      </c>
      <c r="ET43">
        <v>0</v>
      </c>
      <c r="EU43">
        <v>0</v>
      </c>
      <c r="EV43">
        <v>0</v>
      </c>
      <c r="EW43">
        <v>0</v>
      </c>
      <c r="EX43">
        <v>0</v>
      </c>
      <c r="FQ43">
        <v>0</v>
      </c>
      <c r="FR43">
        <f t="shared" si="54"/>
        <v>0</v>
      </c>
      <c r="FS43">
        <v>0</v>
      </c>
      <c r="FX43">
        <v>0</v>
      </c>
      <c r="FY43">
        <v>0</v>
      </c>
      <c r="GA43" t="s">
        <v>3</v>
      </c>
      <c r="GD43">
        <v>1</v>
      </c>
      <c r="GF43">
        <v>-216975290</v>
      </c>
      <c r="GG43">
        <v>2</v>
      </c>
      <c r="GH43">
        <v>1</v>
      </c>
      <c r="GI43">
        <v>-2</v>
      </c>
      <c r="GJ43">
        <v>0</v>
      </c>
      <c r="GK43">
        <v>0</v>
      </c>
      <c r="GL43">
        <f t="shared" si="55"/>
        <v>0</v>
      </c>
      <c r="GM43">
        <f t="shared" si="56"/>
        <v>69.599999999999994</v>
      </c>
      <c r="GN43">
        <f t="shared" si="57"/>
        <v>0</v>
      </c>
      <c r="GO43">
        <f t="shared" si="58"/>
        <v>69.599999999999994</v>
      </c>
      <c r="GP43">
        <f t="shared" si="59"/>
        <v>0</v>
      </c>
      <c r="GR43">
        <v>0</v>
      </c>
      <c r="GS43">
        <v>3</v>
      </c>
      <c r="GT43">
        <v>0</v>
      </c>
      <c r="GU43" t="s">
        <v>3</v>
      </c>
      <c r="GV43">
        <f t="shared" si="60"/>
        <v>0</v>
      </c>
      <c r="GW43">
        <v>1</v>
      </c>
      <c r="GX43">
        <f t="shared" si="61"/>
        <v>0</v>
      </c>
      <c r="HA43">
        <v>0</v>
      </c>
      <c r="HB43">
        <v>0</v>
      </c>
      <c r="HC43">
        <f t="shared" si="62"/>
        <v>0</v>
      </c>
      <c r="HE43" t="s">
        <v>3</v>
      </c>
      <c r="HF43" t="s">
        <v>3</v>
      </c>
      <c r="IK43">
        <v>0</v>
      </c>
    </row>
    <row r="44" spans="1:245" x14ac:dyDescent="0.2">
      <c r="A44">
        <v>18</v>
      </c>
      <c r="B44">
        <v>1</v>
      </c>
      <c r="C44">
        <v>35</v>
      </c>
      <c r="E44" t="s">
        <v>80</v>
      </c>
      <c r="F44" t="s">
        <v>81</v>
      </c>
      <c r="G44" t="s">
        <v>82</v>
      </c>
      <c r="H44" t="s">
        <v>42</v>
      </c>
      <c r="I44">
        <f>I36*J44</f>
        <v>0.12138</v>
      </c>
      <c r="J44">
        <v>1.02</v>
      </c>
      <c r="O44">
        <f t="shared" si="28"/>
        <v>1492.01</v>
      </c>
      <c r="P44">
        <f t="shared" si="29"/>
        <v>1492.01</v>
      </c>
      <c r="Q44">
        <f t="shared" si="30"/>
        <v>0</v>
      </c>
      <c r="R44">
        <f t="shared" si="31"/>
        <v>0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52156631</v>
      </c>
      <c r="AB44">
        <f t="shared" si="39"/>
        <v>12292.07</v>
      </c>
      <c r="AC44">
        <f t="shared" si="40"/>
        <v>12292.07</v>
      </c>
      <c r="AD44">
        <f t="shared" si="63"/>
        <v>0</v>
      </c>
      <c r="AE44">
        <f t="shared" si="64"/>
        <v>0</v>
      </c>
      <c r="AF44">
        <f t="shared" si="65"/>
        <v>0</v>
      </c>
      <c r="AG44">
        <f t="shared" si="41"/>
        <v>0</v>
      </c>
      <c r="AH44">
        <f t="shared" si="66"/>
        <v>0</v>
      </c>
      <c r="AI44">
        <f t="shared" si="67"/>
        <v>0</v>
      </c>
      <c r="AJ44">
        <f t="shared" si="42"/>
        <v>0</v>
      </c>
      <c r="AK44">
        <v>12292.07</v>
      </c>
      <c r="AL44">
        <v>12292.07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105</v>
      </c>
      <c r="AU44">
        <v>51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83</v>
      </c>
      <c r="BM44">
        <v>33001</v>
      </c>
      <c r="BN44">
        <v>0</v>
      </c>
      <c r="BO44" t="s">
        <v>3</v>
      </c>
      <c r="BP44">
        <v>0</v>
      </c>
      <c r="BQ44">
        <v>2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105</v>
      </c>
      <c r="CA44">
        <v>60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3"/>
        <v>1492.01</v>
      </c>
      <c r="CQ44">
        <f t="shared" si="44"/>
        <v>12292.07</v>
      </c>
      <c r="CR44">
        <f t="shared" si="45"/>
        <v>0</v>
      </c>
      <c r="CS44">
        <f t="shared" si="46"/>
        <v>0</v>
      </c>
      <c r="CT44">
        <f t="shared" si="47"/>
        <v>0</v>
      </c>
      <c r="CU44">
        <f t="shared" si="48"/>
        <v>0</v>
      </c>
      <c r="CV44">
        <f t="shared" si="49"/>
        <v>0</v>
      </c>
      <c r="CW44">
        <f t="shared" si="50"/>
        <v>0</v>
      </c>
      <c r="CX44">
        <f t="shared" si="51"/>
        <v>0</v>
      </c>
      <c r="CY44">
        <f t="shared" si="52"/>
        <v>0</v>
      </c>
      <c r="CZ44">
        <f t="shared" si="53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42</v>
      </c>
      <c r="DW44" t="s">
        <v>44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50663971</v>
      </c>
      <c r="EF44">
        <v>2</v>
      </c>
      <c r="EG44" t="s">
        <v>22</v>
      </c>
      <c r="EH44">
        <v>0</v>
      </c>
      <c r="EI44" t="s">
        <v>3</v>
      </c>
      <c r="EJ44">
        <v>1</v>
      </c>
      <c r="EK44">
        <v>33001</v>
      </c>
      <c r="EL44" t="s">
        <v>23</v>
      </c>
      <c r="EM44" t="s">
        <v>24</v>
      </c>
      <c r="EO44" t="s">
        <v>3</v>
      </c>
      <c r="EQ44">
        <v>0</v>
      </c>
      <c r="ER44">
        <v>12292.07</v>
      </c>
      <c r="ES44">
        <v>12292.07</v>
      </c>
      <c r="ET44">
        <v>0</v>
      </c>
      <c r="EU44">
        <v>0</v>
      </c>
      <c r="EV44">
        <v>0</v>
      </c>
      <c r="EW44">
        <v>0</v>
      </c>
      <c r="EX44">
        <v>0</v>
      </c>
      <c r="FQ44">
        <v>0</v>
      </c>
      <c r="FR44">
        <f t="shared" si="54"/>
        <v>0</v>
      </c>
      <c r="FS44">
        <v>0</v>
      </c>
      <c r="FU44" t="s">
        <v>25</v>
      </c>
      <c r="FX44">
        <v>105</v>
      </c>
      <c r="FY44">
        <v>51</v>
      </c>
      <c r="GA44" t="s">
        <v>3</v>
      </c>
      <c r="GD44">
        <v>1</v>
      </c>
      <c r="GF44">
        <v>-433544038</v>
      </c>
      <c r="GG44">
        <v>2</v>
      </c>
      <c r="GH44">
        <v>1</v>
      </c>
      <c r="GI44">
        <v>-2</v>
      </c>
      <c r="GJ44">
        <v>0</v>
      </c>
      <c r="GK44">
        <v>0</v>
      </c>
      <c r="GL44">
        <f t="shared" si="55"/>
        <v>0</v>
      </c>
      <c r="GM44">
        <f t="shared" si="56"/>
        <v>1492.01</v>
      </c>
      <c r="GN44">
        <f t="shared" si="57"/>
        <v>1492.01</v>
      </c>
      <c r="GO44">
        <f t="shared" si="58"/>
        <v>0</v>
      </c>
      <c r="GP44">
        <f t="shared" si="59"/>
        <v>0</v>
      </c>
      <c r="GR44">
        <v>0</v>
      </c>
      <c r="GS44">
        <v>3</v>
      </c>
      <c r="GT44">
        <v>0</v>
      </c>
      <c r="GU44" t="s">
        <v>3</v>
      </c>
      <c r="GV44">
        <f t="shared" si="60"/>
        <v>0</v>
      </c>
      <c r="GW44">
        <v>1</v>
      </c>
      <c r="GX44">
        <f t="shared" si="61"/>
        <v>0</v>
      </c>
      <c r="HA44">
        <v>0</v>
      </c>
      <c r="HB44">
        <v>0</v>
      </c>
      <c r="HC44">
        <f t="shared" si="62"/>
        <v>0</v>
      </c>
      <c r="HE44" t="s">
        <v>3</v>
      </c>
      <c r="HF44" t="s">
        <v>3</v>
      </c>
      <c r="IK44">
        <v>0</v>
      </c>
    </row>
    <row r="45" spans="1:245" x14ac:dyDescent="0.2">
      <c r="A45">
        <v>18</v>
      </c>
      <c r="B45">
        <v>1</v>
      </c>
      <c r="C45">
        <v>29</v>
      </c>
      <c r="E45" t="s">
        <v>84</v>
      </c>
      <c r="F45" t="s">
        <v>85</v>
      </c>
      <c r="G45" t="s">
        <v>86</v>
      </c>
      <c r="H45" t="s">
        <v>37</v>
      </c>
      <c r="I45">
        <f>I36*J45</f>
        <v>8</v>
      </c>
      <c r="J45">
        <v>67.226890756302524</v>
      </c>
      <c r="O45">
        <f t="shared" si="28"/>
        <v>258.56</v>
      </c>
      <c r="P45">
        <f t="shared" si="29"/>
        <v>258.56</v>
      </c>
      <c r="Q45">
        <f t="shared" si="30"/>
        <v>0</v>
      </c>
      <c r="R45">
        <f t="shared" si="31"/>
        <v>0</v>
      </c>
      <c r="S45">
        <f t="shared" si="32"/>
        <v>0</v>
      </c>
      <c r="T45">
        <f t="shared" si="33"/>
        <v>0</v>
      </c>
      <c r="U45">
        <f t="shared" si="34"/>
        <v>0</v>
      </c>
      <c r="V45">
        <f t="shared" si="35"/>
        <v>0</v>
      </c>
      <c r="W45">
        <f t="shared" si="36"/>
        <v>0</v>
      </c>
      <c r="X45">
        <f t="shared" si="37"/>
        <v>0</v>
      </c>
      <c r="Y45">
        <f t="shared" si="38"/>
        <v>0</v>
      </c>
      <c r="AA45">
        <v>52156631</v>
      </c>
      <c r="AB45">
        <f t="shared" si="39"/>
        <v>32.32</v>
      </c>
      <c r="AC45">
        <f t="shared" si="40"/>
        <v>32.32</v>
      </c>
      <c r="AD45">
        <f t="shared" si="63"/>
        <v>0</v>
      </c>
      <c r="AE45">
        <f t="shared" si="64"/>
        <v>0</v>
      </c>
      <c r="AF45">
        <f t="shared" si="65"/>
        <v>0</v>
      </c>
      <c r="AG45">
        <f t="shared" si="41"/>
        <v>0</v>
      </c>
      <c r="AH45">
        <f t="shared" si="66"/>
        <v>0</v>
      </c>
      <c r="AI45">
        <f t="shared" si="67"/>
        <v>0</v>
      </c>
      <c r="AJ45">
        <f t="shared" si="42"/>
        <v>0</v>
      </c>
      <c r="AK45">
        <v>32.32</v>
      </c>
      <c r="AL45">
        <v>32.32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87</v>
      </c>
      <c r="BM45">
        <v>500001</v>
      </c>
      <c r="BN45">
        <v>0</v>
      </c>
      <c r="BO45" t="s">
        <v>3</v>
      </c>
      <c r="BP45">
        <v>0</v>
      </c>
      <c r="BQ45">
        <v>8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3"/>
        <v>258.56</v>
      </c>
      <c r="CQ45">
        <f t="shared" si="44"/>
        <v>32.32</v>
      </c>
      <c r="CR45">
        <f t="shared" si="45"/>
        <v>0</v>
      </c>
      <c r="CS45">
        <f t="shared" si="46"/>
        <v>0</v>
      </c>
      <c r="CT45">
        <f t="shared" si="47"/>
        <v>0</v>
      </c>
      <c r="CU45">
        <f t="shared" si="48"/>
        <v>0</v>
      </c>
      <c r="CV45">
        <f t="shared" si="49"/>
        <v>0</v>
      </c>
      <c r="CW45">
        <f t="shared" si="50"/>
        <v>0</v>
      </c>
      <c r="CX45">
        <f t="shared" si="51"/>
        <v>0</v>
      </c>
      <c r="CY45">
        <f t="shared" si="52"/>
        <v>0</v>
      </c>
      <c r="CZ45">
        <f t="shared" si="53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37</v>
      </c>
      <c r="DW45" t="s">
        <v>37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50663849</v>
      </c>
      <c r="EF45">
        <v>8</v>
      </c>
      <c r="EG45" t="s">
        <v>66</v>
      </c>
      <c r="EH45">
        <v>0</v>
      </c>
      <c r="EI45" t="s">
        <v>3</v>
      </c>
      <c r="EJ45">
        <v>1</v>
      </c>
      <c r="EK45">
        <v>500001</v>
      </c>
      <c r="EL45" t="s">
        <v>67</v>
      </c>
      <c r="EM45" t="s">
        <v>68</v>
      </c>
      <c r="EO45" t="s">
        <v>3</v>
      </c>
      <c r="EQ45">
        <v>0</v>
      </c>
      <c r="ER45">
        <v>32.32</v>
      </c>
      <c r="ES45">
        <v>32.32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4"/>
        <v>0</v>
      </c>
      <c r="FS45">
        <v>0</v>
      </c>
      <c r="FX45">
        <v>0</v>
      </c>
      <c r="FY45">
        <v>0</v>
      </c>
      <c r="GA45" t="s">
        <v>3</v>
      </c>
      <c r="GD45">
        <v>1</v>
      </c>
      <c r="GF45">
        <v>875201068</v>
      </c>
      <c r="GG45">
        <v>2</v>
      </c>
      <c r="GH45">
        <v>1</v>
      </c>
      <c r="GI45">
        <v>-2</v>
      </c>
      <c r="GJ45">
        <v>0</v>
      </c>
      <c r="GK45">
        <v>0</v>
      </c>
      <c r="GL45">
        <f t="shared" si="55"/>
        <v>0</v>
      </c>
      <c r="GM45">
        <f t="shared" si="56"/>
        <v>258.56</v>
      </c>
      <c r="GN45">
        <f t="shared" si="57"/>
        <v>258.56</v>
      </c>
      <c r="GO45">
        <f t="shared" si="58"/>
        <v>0</v>
      </c>
      <c r="GP45">
        <f t="shared" si="59"/>
        <v>0</v>
      </c>
      <c r="GR45">
        <v>0</v>
      </c>
      <c r="GS45">
        <v>3</v>
      </c>
      <c r="GT45">
        <v>0</v>
      </c>
      <c r="GU45" t="s">
        <v>3</v>
      </c>
      <c r="GV45">
        <f t="shared" si="60"/>
        <v>0</v>
      </c>
      <c r="GW45">
        <v>1</v>
      </c>
      <c r="GX45">
        <f t="shared" si="61"/>
        <v>0</v>
      </c>
      <c r="HA45">
        <v>0</v>
      </c>
      <c r="HB45">
        <v>0</v>
      </c>
      <c r="HC45">
        <f t="shared" si="62"/>
        <v>0</v>
      </c>
      <c r="HE45" t="s">
        <v>3</v>
      </c>
      <c r="HF45" t="s">
        <v>3</v>
      </c>
      <c r="IK45">
        <v>0</v>
      </c>
    </row>
    <row r="46" spans="1:245" x14ac:dyDescent="0.2">
      <c r="A46">
        <v>18</v>
      </c>
      <c r="B46">
        <v>1</v>
      </c>
      <c r="C46">
        <v>30</v>
      </c>
      <c r="E46" t="s">
        <v>88</v>
      </c>
      <c r="F46" t="s">
        <v>89</v>
      </c>
      <c r="G46" t="s">
        <v>90</v>
      </c>
      <c r="H46" t="s">
        <v>91</v>
      </c>
      <c r="I46">
        <f>I36*J46</f>
        <v>-0.23799999999999999</v>
      </c>
      <c r="J46">
        <v>-2</v>
      </c>
      <c r="O46">
        <f t="shared" si="28"/>
        <v>-54</v>
      </c>
      <c r="P46">
        <f t="shared" si="29"/>
        <v>-54</v>
      </c>
      <c r="Q46">
        <f t="shared" si="30"/>
        <v>0</v>
      </c>
      <c r="R46">
        <f t="shared" si="31"/>
        <v>0</v>
      </c>
      <c r="S46">
        <f t="shared" si="32"/>
        <v>0</v>
      </c>
      <c r="T46">
        <f t="shared" si="33"/>
        <v>0</v>
      </c>
      <c r="U46">
        <f t="shared" si="34"/>
        <v>0</v>
      </c>
      <c r="V46">
        <f t="shared" si="35"/>
        <v>0</v>
      </c>
      <c r="W46">
        <f t="shared" si="36"/>
        <v>0</v>
      </c>
      <c r="X46">
        <f t="shared" si="37"/>
        <v>0</v>
      </c>
      <c r="Y46">
        <f t="shared" si="38"/>
        <v>0</v>
      </c>
      <c r="AA46">
        <v>52156631</v>
      </c>
      <c r="AB46">
        <f t="shared" si="39"/>
        <v>226.87</v>
      </c>
      <c r="AC46">
        <f t="shared" si="40"/>
        <v>226.87</v>
      </c>
      <c r="AD46">
        <f t="shared" si="63"/>
        <v>0</v>
      </c>
      <c r="AE46">
        <f t="shared" si="64"/>
        <v>0</v>
      </c>
      <c r="AF46">
        <f t="shared" si="65"/>
        <v>0</v>
      </c>
      <c r="AG46">
        <f t="shared" si="41"/>
        <v>0</v>
      </c>
      <c r="AH46">
        <f t="shared" si="66"/>
        <v>0</v>
      </c>
      <c r="AI46">
        <f t="shared" si="67"/>
        <v>0</v>
      </c>
      <c r="AJ46">
        <f t="shared" si="42"/>
        <v>0</v>
      </c>
      <c r="AK46">
        <v>226.87</v>
      </c>
      <c r="AL46">
        <v>226.87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1</v>
      </c>
      <c r="BJ46" t="s">
        <v>92</v>
      </c>
      <c r="BM46">
        <v>500001</v>
      </c>
      <c r="BN46">
        <v>0</v>
      </c>
      <c r="BO46" t="s">
        <v>3</v>
      </c>
      <c r="BP46">
        <v>0</v>
      </c>
      <c r="BQ46">
        <v>8</v>
      </c>
      <c r="BR46">
        <v>1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3"/>
        <v>-54</v>
      </c>
      <c r="CQ46">
        <f t="shared" si="44"/>
        <v>226.87</v>
      </c>
      <c r="CR46">
        <f t="shared" si="45"/>
        <v>0</v>
      </c>
      <c r="CS46">
        <f t="shared" si="46"/>
        <v>0</v>
      </c>
      <c r="CT46">
        <f t="shared" si="47"/>
        <v>0</v>
      </c>
      <c r="CU46">
        <f t="shared" si="48"/>
        <v>0</v>
      </c>
      <c r="CV46">
        <f t="shared" si="49"/>
        <v>0</v>
      </c>
      <c r="CW46">
        <f t="shared" si="50"/>
        <v>0</v>
      </c>
      <c r="CX46">
        <f t="shared" si="51"/>
        <v>0</v>
      </c>
      <c r="CY46">
        <f t="shared" si="52"/>
        <v>0</v>
      </c>
      <c r="CZ46">
        <f t="shared" si="53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91</v>
      </c>
      <c r="DW46" t="s">
        <v>91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50663849</v>
      </c>
      <c r="EF46">
        <v>8</v>
      </c>
      <c r="EG46" t="s">
        <v>66</v>
      </c>
      <c r="EH46">
        <v>0</v>
      </c>
      <c r="EI46" t="s">
        <v>3</v>
      </c>
      <c r="EJ46">
        <v>1</v>
      </c>
      <c r="EK46">
        <v>500001</v>
      </c>
      <c r="EL46" t="s">
        <v>67</v>
      </c>
      <c r="EM46" t="s">
        <v>68</v>
      </c>
      <c r="EO46" t="s">
        <v>3</v>
      </c>
      <c r="EQ46">
        <v>0</v>
      </c>
      <c r="ER46">
        <v>226.87</v>
      </c>
      <c r="ES46">
        <v>226.87</v>
      </c>
      <c r="ET46">
        <v>0</v>
      </c>
      <c r="EU46">
        <v>0</v>
      </c>
      <c r="EV46">
        <v>0</v>
      </c>
      <c r="EW46">
        <v>0</v>
      </c>
      <c r="EX46">
        <v>0</v>
      </c>
      <c r="FQ46">
        <v>0</v>
      </c>
      <c r="FR46">
        <f t="shared" si="54"/>
        <v>0</v>
      </c>
      <c r="FS46">
        <v>0</v>
      </c>
      <c r="FX46">
        <v>0</v>
      </c>
      <c r="FY46">
        <v>0</v>
      </c>
      <c r="GA46" t="s">
        <v>3</v>
      </c>
      <c r="GD46">
        <v>1</v>
      </c>
      <c r="GF46">
        <v>2031122623</v>
      </c>
      <c r="GG46">
        <v>2</v>
      </c>
      <c r="GH46">
        <v>1</v>
      </c>
      <c r="GI46">
        <v>-2</v>
      </c>
      <c r="GJ46">
        <v>0</v>
      </c>
      <c r="GK46">
        <v>0</v>
      </c>
      <c r="GL46">
        <f t="shared" si="55"/>
        <v>0</v>
      </c>
      <c r="GM46">
        <f t="shared" si="56"/>
        <v>-54</v>
      </c>
      <c r="GN46">
        <f t="shared" si="57"/>
        <v>-54</v>
      </c>
      <c r="GO46">
        <f t="shared" si="58"/>
        <v>0</v>
      </c>
      <c r="GP46">
        <f t="shared" si="59"/>
        <v>0</v>
      </c>
      <c r="GR46">
        <v>0</v>
      </c>
      <c r="GS46">
        <v>3</v>
      </c>
      <c r="GT46">
        <v>0</v>
      </c>
      <c r="GU46" t="s">
        <v>3</v>
      </c>
      <c r="GV46">
        <f t="shared" si="60"/>
        <v>0</v>
      </c>
      <c r="GW46">
        <v>1</v>
      </c>
      <c r="GX46">
        <f t="shared" si="61"/>
        <v>0</v>
      </c>
      <c r="HA46">
        <v>0</v>
      </c>
      <c r="HB46">
        <v>0</v>
      </c>
      <c r="HC46">
        <f t="shared" si="62"/>
        <v>0</v>
      </c>
      <c r="HE46" t="s">
        <v>3</v>
      </c>
      <c r="HF46" t="s">
        <v>3</v>
      </c>
      <c r="IK46">
        <v>0</v>
      </c>
    </row>
    <row r="47" spans="1:245" x14ac:dyDescent="0.2">
      <c r="A47">
        <v>18</v>
      </c>
      <c r="B47">
        <v>1</v>
      </c>
      <c r="C47">
        <v>31</v>
      </c>
      <c r="E47" t="s">
        <v>93</v>
      </c>
      <c r="F47" t="s">
        <v>94</v>
      </c>
      <c r="G47" t="s">
        <v>95</v>
      </c>
      <c r="H47" t="s">
        <v>91</v>
      </c>
      <c r="I47">
        <f>I36*J47</f>
        <v>-3.4509999999999996</v>
      </c>
      <c r="J47">
        <v>-28.999999999999996</v>
      </c>
      <c r="O47">
        <f t="shared" si="28"/>
        <v>-536.53</v>
      </c>
      <c r="P47">
        <f t="shared" si="29"/>
        <v>-536.53</v>
      </c>
      <c r="Q47">
        <f t="shared" si="30"/>
        <v>0</v>
      </c>
      <c r="R47">
        <f t="shared" si="31"/>
        <v>0</v>
      </c>
      <c r="S47">
        <f t="shared" si="32"/>
        <v>0</v>
      </c>
      <c r="T47">
        <f t="shared" si="33"/>
        <v>0</v>
      </c>
      <c r="U47">
        <f t="shared" si="34"/>
        <v>0</v>
      </c>
      <c r="V47">
        <f t="shared" si="35"/>
        <v>0</v>
      </c>
      <c r="W47">
        <f t="shared" si="36"/>
        <v>0</v>
      </c>
      <c r="X47">
        <f t="shared" si="37"/>
        <v>0</v>
      </c>
      <c r="Y47">
        <f t="shared" si="38"/>
        <v>0</v>
      </c>
      <c r="AA47">
        <v>52156631</v>
      </c>
      <c r="AB47">
        <f t="shared" si="39"/>
        <v>155.47</v>
      </c>
      <c r="AC47">
        <f t="shared" si="40"/>
        <v>155.47</v>
      </c>
      <c r="AD47">
        <f t="shared" si="63"/>
        <v>0</v>
      </c>
      <c r="AE47">
        <f t="shared" si="64"/>
        <v>0</v>
      </c>
      <c r="AF47">
        <f t="shared" si="65"/>
        <v>0</v>
      </c>
      <c r="AG47">
        <f t="shared" si="41"/>
        <v>0</v>
      </c>
      <c r="AH47">
        <f t="shared" si="66"/>
        <v>0</v>
      </c>
      <c r="AI47">
        <f t="shared" si="67"/>
        <v>0</v>
      </c>
      <c r="AJ47">
        <f t="shared" si="42"/>
        <v>0</v>
      </c>
      <c r="AK47">
        <v>155.47</v>
      </c>
      <c r="AL47">
        <v>155.47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1</v>
      </c>
      <c r="BJ47" t="s">
        <v>96</v>
      </c>
      <c r="BM47">
        <v>500001</v>
      </c>
      <c r="BN47">
        <v>0</v>
      </c>
      <c r="BO47" t="s">
        <v>3</v>
      </c>
      <c r="BP47">
        <v>0</v>
      </c>
      <c r="BQ47">
        <v>8</v>
      </c>
      <c r="BR47">
        <v>1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0</v>
      </c>
      <c r="CA47">
        <v>0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3"/>
        <v>-536.53</v>
      </c>
      <c r="CQ47">
        <f t="shared" si="44"/>
        <v>155.47</v>
      </c>
      <c r="CR47">
        <f t="shared" si="45"/>
        <v>0</v>
      </c>
      <c r="CS47">
        <f t="shared" si="46"/>
        <v>0</v>
      </c>
      <c r="CT47">
        <f t="shared" si="47"/>
        <v>0</v>
      </c>
      <c r="CU47">
        <f t="shared" si="48"/>
        <v>0</v>
      </c>
      <c r="CV47">
        <f t="shared" si="49"/>
        <v>0</v>
      </c>
      <c r="CW47">
        <f t="shared" si="50"/>
        <v>0</v>
      </c>
      <c r="CX47">
        <f t="shared" si="51"/>
        <v>0</v>
      </c>
      <c r="CY47">
        <f t="shared" si="52"/>
        <v>0</v>
      </c>
      <c r="CZ47">
        <f t="shared" si="53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91</v>
      </c>
      <c r="DW47" t="s">
        <v>91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50663849</v>
      </c>
      <c r="EF47">
        <v>8</v>
      </c>
      <c r="EG47" t="s">
        <v>66</v>
      </c>
      <c r="EH47">
        <v>0</v>
      </c>
      <c r="EI47" t="s">
        <v>3</v>
      </c>
      <c r="EJ47">
        <v>1</v>
      </c>
      <c r="EK47">
        <v>500001</v>
      </c>
      <c r="EL47" t="s">
        <v>67</v>
      </c>
      <c r="EM47" t="s">
        <v>68</v>
      </c>
      <c r="EO47" t="s">
        <v>3</v>
      </c>
      <c r="EQ47">
        <v>0</v>
      </c>
      <c r="ER47">
        <v>155.47</v>
      </c>
      <c r="ES47">
        <v>155.47</v>
      </c>
      <c r="ET47">
        <v>0</v>
      </c>
      <c r="EU47">
        <v>0</v>
      </c>
      <c r="EV47">
        <v>0</v>
      </c>
      <c r="EW47">
        <v>0</v>
      </c>
      <c r="EX47">
        <v>0</v>
      </c>
      <c r="FQ47">
        <v>0</v>
      </c>
      <c r="FR47">
        <f t="shared" si="54"/>
        <v>0</v>
      </c>
      <c r="FS47">
        <v>0</v>
      </c>
      <c r="FX47">
        <v>0</v>
      </c>
      <c r="FY47">
        <v>0</v>
      </c>
      <c r="GA47" t="s">
        <v>3</v>
      </c>
      <c r="GD47">
        <v>1</v>
      </c>
      <c r="GF47">
        <v>1389074853</v>
      </c>
      <c r="GG47">
        <v>2</v>
      </c>
      <c r="GH47">
        <v>1</v>
      </c>
      <c r="GI47">
        <v>-2</v>
      </c>
      <c r="GJ47">
        <v>0</v>
      </c>
      <c r="GK47">
        <v>0</v>
      </c>
      <c r="GL47">
        <f t="shared" si="55"/>
        <v>0</v>
      </c>
      <c r="GM47">
        <f t="shared" si="56"/>
        <v>-536.53</v>
      </c>
      <c r="GN47">
        <f t="shared" si="57"/>
        <v>-536.53</v>
      </c>
      <c r="GO47">
        <f t="shared" si="58"/>
        <v>0</v>
      </c>
      <c r="GP47">
        <f t="shared" si="59"/>
        <v>0</v>
      </c>
      <c r="GR47">
        <v>0</v>
      </c>
      <c r="GS47">
        <v>3</v>
      </c>
      <c r="GT47">
        <v>0</v>
      </c>
      <c r="GU47" t="s">
        <v>3</v>
      </c>
      <c r="GV47">
        <f t="shared" si="60"/>
        <v>0</v>
      </c>
      <c r="GW47">
        <v>1</v>
      </c>
      <c r="GX47">
        <f t="shared" si="61"/>
        <v>0</v>
      </c>
      <c r="HA47">
        <v>0</v>
      </c>
      <c r="HB47">
        <v>0</v>
      </c>
      <c r="HC47">
        <f t="shared" si="62"/>
        <v>0</v>
      </c>
      <c r="HE47" t="s">
        <v>3</v>
      </c>
      <c r="HF47" t="s">
        <v>3</v>
      </c>
      <c r="IK47">
        <v>0</v>
      </c>
    </row>
    <row r="48" spans="1:245" x14ac:dyDescent="0.2">
      <c r="A48">
        <v>17</v>
      </c>
      <c r="B48">
        <v>1</v>
      </c>
      <c r="C48">
        <f>ROW(SmtRes!A47)</f>
        <v>47</v>
      </c>
      <c r="D48">
        <f>ROW(EtalonRes!A47)</f>
        <v>47</v>
      </c>
      <c r="E48" t="s">
        <v>97</v>
      </c>
      <c r="F48" t="s">
        <v>98</v>
      </c>
      <c r="G48" t="s">
        <v>99</v>
      </c>
      <c r="H48" t="s">
        <v>100</v>
      </c>
      <c r="I48">
        <f>ROUND(30/10,9)</f>
        <v>3</v>
      </c>
      <c r="J48">
        <v>0</v>
      </c>
      <c r="O48">
        <f t="shared" si="28"/>
        <v>105.18</v>
      </c>
      <c r="P48">
        <f t="shared" si="29"/>
        <v>3.72</v>
      </c>
      <c r="Q48">
        <f t="shared" si="30"/>
        <v>58.74</v>
      </c>
      <c r="R48">
        <f t="shared" si="31"/>
        <v>0</v>
      </c>
      <c r="S48">
        <f t="shared" si="32"/>
        <v>42.72</v>
      </c>
      <c r="T48">
        <f t="shared" si="33"/>
        <v>0</v>
      </c>
      <c r="U48">
        <f t="shared" si="34"/>
        <v>6.2099999999999991</v>
      </c>
      <c r="V48">
        <f t="shared" si="35"/>
        <v>0</v>
      </c>
      <c r="W48">
        <f t="shared" si="36"/>
        <v>0</v>
      </c>
      <c r="X48">
        <f t="shared" si="37"/>
        <v>44.86</v>
      </c>
      <c r="Y48">
        <f t="shared" si="38"/>
        <v>21.79</v>
      </c>
      <c r="AA48">
        <v>52156631</v>
      </c>
      <c r="AB48">
        <f t="shared" si="39"/>
        <v>35.06</v>
      </c>
      <c r="AC48">
        <f t="shared" si="40"/>
        <v>1.24</v>
      </c>
      <c r="AD48">
        <f>ROUND(((((ET48*1.25))-((EU48*1.25)))+AE48),2)</f>
        <v>19.579999999999998</v>
      </c>
      <c r="AE48">
        <f>ROUND(((EU48*1.25)),2)</f>
        <v>0</v>
      </c>
      <c r="AF48">
        <f>ROUND(((EV48*1.15)),2)</f>
        <v>14.24</v>
      </c>
      <c r="AG48">
        <f t="shared" si="41"/>
        <v>0</v>
      </c>
      <c r="AH48">
        <f>((EW48*1.15))</f>
        <v>2.0699999999999998</v>
      </c>
      <c r="AI48">
        <f>((EX48*1.25))</f>
        <v>0</v>
      </c>
      <c r="AJ48">
        <f t="shared" si="42"/>
        <v>0</v>
      </c>
      <c r="AK48">
        <v>29.28</v>
      </c>
      <c r="AL48">
        <v>1.24</v>
      </c>
      <c r="AM48">
        <v>15.66</v>
      </c>
      <c r="AN48">
        <v>0</v>
      </c>
      <c r="AO48">
        <v>12.38</v>
      </c>
      <c r="AP48">
        <v>0</v>
      </c>
      <c r="AQ48">
        <v>1.8</v>
      </c>
      <c r="AR48">
        <v>0</v>
      </c>
      <c r="AS48">
        <v>0</v>
      </c>
      <c r="AT48">
        <v>105</v>
      </c>
      <c r="AU48">
        <v>51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1</v>
      </c>
      <c r="BJ48" t="s">
        <v>101</v>
      </c>
      <c r="BM48">
        <v>33001</v>
      </c>
      <c r="BN48">
        <v>0</v>
      </c>
      <c r="BO48" t="s">
        <v>3</v>
      </c>
      <c r="BP48">
        <v>0</v>
      </c>
      <c r="BQ48">
        <v>2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105</v>
      </c>
      <c r="CA48">
        <v>60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3"/>
        <v>105.18</v>
      </c>
      <c r="CQ48">
        <f t="shared" si="44"/>
        <v>1.24</v>
      </c>
      <c r="CR48">
        <f t="shared" si="45"/>
        <v>19.579999999999998</v>
      </c>
      <c r="CS48">
        <f t="shared" si="46"/>
        <v>0</v>
      </c>
      <c r="CT48">
        <f t="shared" si="47"/>
        <v>14.24</v>
      </c>
      <c r="CU48">
        <f t="shared" si="48"/>
        <v>0</v>
      </c>
      <c r="CV48">
        <f t="shared" si="49"/>
        <v>2.0699999999999998</v>
      </c>
      <c r="CW48">
        <f t="shared" si="50"/>
        <v>0</v>
      </c>
      <c r="CX48">
        <f t="shared" si="51"/>
        <v>0</v>
      </c>
      <c r="CY48">
        <f t="shared" si="52"/>
        <v>44.855999999999995</v>
      </c>
      <c r="CZ48">
        <f t="shared" si="53"/>
        <v>21.787199999999999</v>
      </c>
      <c r="DC48" t="s">
        <v>3</v>
      </c>
      <c r="DD48" t="s">
        <v>3</v>
      </c>
      <c r="DE48" t="s">
        <v>11</v>
      </c>
      <c r="DF48" t="s">
        <v>11</v>
      </c>
      <c r="DG48" t="s">
        <v>12</v>
      </c>
      <c r="DH48" t="s">
        <v>3</v>
      </c>
      <c r="DI48" t="s">
        <v>12</v>
      </c>
      <c r="DJ48" t="s">
        <v>11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100</v>
      </c>
      <c r="DW48" t="s">
        <v>100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50663971</v>
      </c>
      <c r="EF48">
        <v>2</v>
      </c>
      <c r="EG48" t="s">
        <v>22</v>
      </c>
      <c r="EH48">
        <v>0</v>
      </c>
      <c r="EI48" t="s">
        <v>3</v>
      </c>
      <c r="EJ48">
        <v>1</v>
      </c>
      <c r="EK48">
        <v>33001</v>
      </c>
      <c r="EL48" t="s">
        <v>23</v>
      </c>
      <c r="EM48" t="s">
        <v>24</v>
      </c>
      <c r="EO48" t="s">
        <v>3</v>
      </c>
      <c r="EQ48">
        <v>0</v>
      </c>
      <c r="ER48">
        <v>29.28</v>
      </c>
      <c r="ES48">
        <v>1.24</v>
      </c>
      <c r="ET48">
        <v>15.66</v>
      </c>
      <c r="EU48">
        <v>0</v>
      </c>
      <c r="EV48">
        <v>12.38</v>
      </c>
      <c r="EW48">
        <v>1.8</v>
      </c>
      <c r="EX48">
        <v>0</v>
      </c>
      <c r="EY48">
        <v>0</v>
      </c>
      <c r="FQ48">
        <v>0</v>
      </c>
      <c r="FR48">
        <f t="shared" si="54"/>
        <v>0</v>
      </c>
      <c r="FS48">
        <v>0</v>
      </c>
      <c r="FU48" t="s">
        <v>25</v>
      </c>
      <c r="FX48">
        <v>105</v>
      </c>
      <c r="FY48">
        <v>51</v>
      </c>
      <c r="GA48" t="s">
        <v>3</v>
      </c>
      <c r="GD48">
        <v>1</v>
      </c>
      <c r="GF48">
        <v>862708909</v>
      </c>
      <c r="GG48">
        <v>2</v>
      </c>
      <c r="GH48">
        <v>1</v>
      </c>
      <c r="GI48">
        <v>-2</v>
      </c>
      <c r="GJ48">
        <v>0</v>
      </c>
      <c r="GK48">
        <v>0</v>
      </c>
      <c r="GL48">
        <f t="shared" si="55"/>
        <v>0</v>
      </c>
      <c r="GM48">
        <f t="shared" si="56"/>
        <v>171.83</v>
      </c>
      <c r="GN48">
        <f t="shared" si="57"/>
        <v>171.83</v>
      </c>
      <c r="GO48">
        <f t="shared" si="58"/>
        <v>0</v>
      </c>
      <c r="GP48">
        <f t="shared" si="59"/>
        <v>0</v>
      </c>
      <c r="GR48">
        <v>0</v>
      </c>
      <c r="GS48">
        <v>3</v>
      </c>
      <c r="GT48">
        <v>0</v>
      </c>
      <c r="GU48" t="s">
        <v>3</v>
      </c>
      <c r="GV48">
        <f t="shared" si="60"/>
        <v>0</v>
      </c>
      <c r="GW48">
        <v>1</v>
      </c>
      <c r="GX48">
        <f t="shared" si="61"/>
        <v>0</v>
      </c>
      <c r="HA48">
        <v>0</v>
      </c>
      <c r="HB48">
        <v>0</v>
      </c>
      <c r="HC48">
        <f t="shared" si="62"/>
        <v>0</v>
      </c>
      <c r="HE48" t="s">
        <v>3</v>
      </c>
      <c r="HF48" t="s">
        <v>3</v>
      </c>
      <c r="IK48">
        <v>0</v>
      </c>
    </row>
    <row r="49" spans="1:245" x14ac:dyDescent="0.2">
      <c r="A49">
        <v>18</v>
      </c>
      <c r="B49">
        <v>1</v>
      </c>
      <c r="C49">
        <v>46</v>
      </c>
      <c r="E49" t="s">
        <v>102</v>
      </c>
      <c r="F49" t="s">
        <v>103</v>
      </c>
      <c r="G49" t="s">
        <v>104</v>
      </c>
      <c r="H49" t="s">
        <v>105</v>
      </c>
      <c r="I49">
        <f>I48*J49</f>
        <v>1.3799999999999999E-3</v>
      </c>
      <c r="J49">
        <v>4.5999999999999996E-4</v>
      </c>
      <c r="O49">
        <f t="shared" si="28"/>
        <v>8.51</v>
      </c>
      <c r="P49">
        <f t="shared" si="29"/>
        <v>8.51</v>
      </c>
      <c r="Q49">
        <f t="shared" si="30"/>
        <v>0</v>
      </c>
      <c r="R49">
        <f t="shared" si="31"/>
        <v>0</v>
      </c>
      <c r="S49">
        <f t="shared" si="32"/>
        <v>0</v>
      </c>
      <c r="T49">
        <f t="shared" si="33"/>
        <v>0</v>
      </c>
      <c r="U49">
        <f t="shared" si="34"/>
        <v>0</v>
      </c>
      <c r="V49">
        <f t="shared" si="35"/>
        <v>0</v>
      </c>
      <c r="W49">
        <f t="shared" si="36"/>
        <v>0</v>
      </c>
      <c r="X49">
        <f t="shared" si="37"/>
        <v>0</v>
      </c>
      <c r="Y49">
        <f t="shared" si="38"/>
        <v>0</v>
      </c>
      <c r="AA49">
        <v>52156631</v>
      </c>
      <c r="AB49">
        <f t="shared" si="39"/>
        <v>6168</v>
      </c>
      <c r="AC49">
        <f t="shared" si="40"/>
        <v>6168</v>
      </c>
      <c r="AD49">
        <f>ROUND((((ET49)-(EU49))+AE49),2)</f>
        <v>0</v>
      </c>
      <c r="AE49">
        <f t="shared" ref="AE49:AF51" si="68">ROUND((EU49),2)</f>
        <v>0</v>
      </c>
      <c r="AF49">
        <f t="shared" si="68"/>
        <v>0</v>
      </c>
      <c r="AG49">
        <f t="shared" si="41"/>
        <v>0</v>
      </c>
      <c r="AH49">
        <f t="shared" ref="AH49:AI51" si="69">(EW49)</f>
        <v>0</v>
      </c>
      <c r="AI49">
        <f t="shared" si="69"/>
        <v>0</v>
      </c>
      <c r="AJ49">
        <f t="shared" si="42"/>
        <v>0</v>
      </c>
      <c r="AK49">
        <v>6168</v>
      </c>
      <c r="AL49">
        <v>6168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1</v>
      </c>
      <c r="BJ49" t="s">
        <v>106</v>
      </c>
      <c r="BM49">
        <v>500001</v>
      </c>
      <c r="BN49">
        <v>0</v>
      </c>
      <c r="BO49" t="s">
        <v>3</v>
      </c>
      <c r="BP49">
        <v>0</v>
      </c>
      <c r="BQ49">
        <v>8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0</v>
      </c>
      <c r="CA49">
        <v>0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3"/>
        <v>8.51</v>
      </c>
      <c r="CQ49">
        <f t="shared" si="44"/>
        <v>6168</v>
      </c>
      <c r="CR49">
        <f t="shared" si="45"/>
        <v>0</v>
      </c>
      <c r="CS49">
        <f t="shared" si="46"/>
        <v>0</v>
      </c>
      <c r="CT49">
        <f t="shared" si="47"/>
        <v>0</v>
      </c>
      <c r="CU49">
        <f t="shared" si="48"/>
        <v>0</v>
      </c>
      <c r="CV49">
        <f t="shared" si="49"/>
        <v>0</v>
      </c>
      <c r="CW49">
        <f t="shared" si="50"/>
        <v>0</v>
      </c>
      <c r="CX49">
        <f t="shared" si="51"/>
        <v>0</v>
      </c>
      <c r="CY49">
        <f t="shared" si="52"/>
        <v>0</v>
      </c>
      <c r="CZ49">
        <f t="shared" si="53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1009</v>
      </c>
      <c r="DV49" t="s">
        <v>105</v>
      </c>
      <c r="DW49" t="s">
        <v>105</v>
      </c>
      <c r="DX49">
        <v>1000</v>
      </c>
      <c r="DZ49" t="s">
        <v>3</v>
      </c>
      <c r="EA49" t="s">
        <v>3</v>
      </c>
      <c r="EB49" t="s">
        <v>3</v>
      </c>
      <c r="EC49" t="s">
        <v>3</v>
      </c>
      <c r="EE49">
        <v>50663849</v>
      </c>
      <c r="EF49">
        <v>8</v>
      </c>
      <c r="EG49" t="s">
        <v>66</v>
      </c>
      <c r="EH49">
        <v>0</v>
      </c>
      <c r="EI49" t="s">
        <v>3</v>
      </c>
      <c r="EJ49">
        <v>1</v>
      </c>
      <c r="EK49">
        <v>500001</v>
      </c>
      <c r="EL49" t="s">
        <v>67</v>
      </c>
      <c r="EM49" t="s">
        <v>68</v>
      </c>
      <c r="EO49" t="s">
        <v>3</v>
      </c>
      <c r="EQ49">
        <v>0</v>
      </c>
      <c r="ER49">
        <v>6168</v>
      </c>
      <c r="ES49">
        <v>6168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54"/>
        <v>0</v>
      </c>
      <c r="FS49">
        <v>0</v>
      </c>
      <c r="FX49">
        <v>0</v>
      </c>
      <c r="FY49">
        <v>0</v>
      </c>
      <c r="GA49" t="s">
        <v>3</v>
      </c>
      <c r="GD49">
        <v>1</v>
      </c>
      <c r="GF49">
        <v>-1380646413</v>
      </c>
      <c r="GG49">
        <v>2</v>
      </c>
      <c r="GH49">
        <v>1</v>
      </c>
      <c r="GI49">
        <v>-2</v>
      </c>
      <c r="GJ49">
        <v>0</v>
      </c>
      <c r="GK49">
        <v>0</v>
      </c>
      <c r="GL49">
        <f t="shared" si="55"/>
        <v>0</v>
      </c>
      <c r="GM49">
        <f t="shared" si="56"/>
        <v>8.51</v>
      </c>
      <c r="GN49">
        <f t="shared" si="57"/>
        <v>8.51</v>
      </c>
      <c r="GO49">
        <f t="shared" si="58"/>
        <v>0</v>
      </c>
      <c r="GP49">
        <f t="shared" si="59"/>
        <v>0</v>
      </c>
      <c r="GR49">
        <v>0</v>
      </c>
      <c r="GS49">
        <v>3</v>
      </c>
      <c r="GT49">
        <v>0</v>
      </c>
      <c r="GU49" t="s">
        <v>3</v>
      </c>
      <c r="GV49">
        <f t="shared" si="60"/>
        <v>0</v>
      </c>
      <c r="GW49">
        <v>1</v>
      </c>
      <c r="GX49">
        <f t="shared" si="61"/>
        <v>0</v>
      </c>
      <c r="HA49">
        <v>0</v>
      </c>
      <c r="HB49">
        <v>0</v>
      </c>
      <c r="HC49">
        <f t="shared" si="62"/>
        <v>0</v>
      </c>
      <c r="HE49" t="s">
        <v>3</v>
      </c>
      <c r="HF49" t="s">
        <v>3</v>
      </c>
      <c r="IK49">
        <v>0</v>
      </c>
    </row>
    <row r="50" spans="1:245" x14ac:dyDescent="0.2">
      <c r="A50">
        <v>18</v>
      </c>
      <c r="B50">
        <v>1</v>
      </c>
      <c r="C50">
        <v>45</v>
      </c>
      <c r="E50" t="s">
        <v>107</v>
      </c>
      <c r="F50" t="s">
        <v>108</v>
      </c>
      <c r="G50" t="s">
        <v>109</v>
      </c>
      <c r="H50" t="s">
        <v>105</v>
      </c>
      <c r="I50">
        <f>I48*J50</f>
        <v>1.4789999999999998E-2</v>
      </c>
      <c r="J50">
        <v>4.9299999999999995E-3</v>
      </c>
      <c r="O50">
        <f t="shared" si="28"/>
        <v>92.3</v>
      </c>
      <c r="P50">
        <f t="shared" si="29"/>
        <v>92.3</v>
      </c>
      <c r="Q50">
        <f t="shared" si="30"/>
        <v>0</v>
      </c>
      <c r="R50">
        <f t="shared" si="31"/>
        <v>0</v>
      </c>
      <c r="S50">
        <f t="shared" si="32"/>
        <v>0</v>
      </c>
      <c r="T50">
        <f t="shared" si="33"/>
        <v>0</v>
      </c>
      <c r="U50">
        <f t="shared" si="34"/>
        <v>0</v>
      </c>
      <c r="V50">
        <f t="shared" si="35"/>
        <v>0</v>
      </c>
      <c r="W50">
        <f t="shared" si="36"/>
        <v>0</v>
      </c>
      <c r="X50">
        <f t="shared" si="37"/>
        <v>0</v>
      </c>
      <c r="Y50">
        <f t="shared" si="38"/>
        <v>0</v>
      </c>
      <c r="AA50">
        <v>52156631</v>
      </c>
      <c r="AB50">
        <f t="shared" si="39"/>
        <v>6240.48</v>
      </c>
      <c r="AC50">
        <f t="shared" si="40"/>
        <v>6240.48</v>
      </c>
      <c r="AD50">
        <f>ROUND((((ET50)-(EU50))+AE50),2)</f>
        <v>0</v>
      </c>
      <c r="AE50">
        <f t="shared" si="68"/>
        <v>0</v>
      </c>
      <c r="AF50">
        <f t="shared" si="68"/>
        <v>0</v>
      </c>
      <c r="AG50">
        <f t="shared" si="41"/>
        <v>0</v>
      </c>
      <c r="AH50">
        <f t="shared" si="69"/>
        <v>0</v>
      </c>
      <c r="AI50">
        <f t="shared" si="69"/>
        <v>0</v>
      </c>
      <c r="AJ50">
        <f t="shared" si="42"/>
        <v>0</v>
      </c>
      <c r="AK50">
        <v>6240.48</v>
      </c>
      <c r="AL50">
        <v>6240.48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1</v>
      </c>
      <c r="BJ50" t="s">
        <v>110</v>
      </c>
      <c r="BM50">
        <v>500001</v>
      </c>
      <c r="BN50">
        <v>0</v>
      </c>
      <c r="BO50" t="s">
        <v>3</v>
      </c>
      <c r="BP50">
        <v>0</v>
      </c>
      <c r="BQ50">
        <v>8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0</v>
      </c>
      <c r="CA50">
        <v>0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3"/>
        <v>92.3</v>
      </c>
      <c r="CQ50">
        <f t="shared" si="44"/>
        <v>6240.48</v>
      </c>
      <c r="CR50">
        <f t="shared" si="45"/>
        <v>0</v>
      </c>
      <c r="CS50">
        <f t="shared" si="46"/>
        <v>0</v>
      </c>
      <c r="CT50">
        <f t="shared" si="47"/>
        <v>0</v>
      </c>
      <c r="CU50">
        <f t="shared" si="48"/>
        <v>0</v>
      </c>
      <c r="CV50">
        <f t="shared" si="49"/>
        <v>0</v>
      </c>
      <c r="CW50">
        <f t="shared" si="50"/>
        <v>0</v>
      </c>
      <c r="CX50">
        <f t="shared" si="51"/>
        <v>0</v>
      </c>
      <c r="CY50">
        <f t="shared" si="52"/>
        <v>0</v>
      </c>
      <c r="CZ50">
        <f t="shared" si="53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1009</v>
      </c>
      <c r="DV50" t="s">
        <v>105</v>
      </c>
      <c r="DW50" t="s">
        <v>105</v>
      </c>
      <c r="DX50">
        <v>1000</v>
      </c>
      <c r="DZ50" t="s">
        <v>3</v>
      </c>
      <c r="EA50" t="s">
        <v>3</v>
      </c>
      <c r="EB50" t="s">
        <v>3</v>
      </c>
      <c r="EC50" t="s">
        <v>3</v>
      </c>
      <c r="EE50">
        <v>50663849</v>
      </c>
      <c r="EF50">
        <v>8</v>
      </c>
      <c r="EG50" t="s">
        <v>66</v>
      </c>
      <c r="EH50">
        <v>0</v>
      </c>
      <c r="EI50" t="s">
        <v>3</v>
      </c>
      <c r="EJ50">
        <v>1</v>
      </c>
      <c r="EK50">
        <v>500001</v>
      </c>
      <c r="EL50" t="s">
        <v>67</v>
      </c>
      <c r="EM50" t="s">
        <v>68</v>
      </c>
      <c r="EO50" t="s">
        <v>3</v>
      </c>
      <c r="EQ50">
        <v>0</v>
      </c>
      <c r="ER50">
        <v>6240.48</v>
      </c>
      <c r="ES50">
        <v>6240.48</v>
      </c>
      <c r="ET50">
        <v>0</v>
      </c>
      <c r="EU50">
        <v>0</v>
      </c>
      <c r="EV50">
        <v>0</v>
      </c>
      <c r="EW50">
        <v>0</v>
      </c>
      <c r="EX50">
        <v>0</v>
      </c>
      <c r="FQ50">
        <v>0</v>
      </c>
      <c r="FR50">
        <f t="shared" si="54"/>
        <v>0</v>
      </c>
      <c r="FS50">
        <v>0</v>
      </c>
      <c r="FX50">
        <v>0</v>
      </c>
      <c r="FY50">
        <v>0</v>
      </c>
      <c r="GA50" t="s">
        <v>3</v>
      </c>
      <c r="GD50">
        <v>1</v>
      </c>
      <c r="GF50">
        <v>-56661442</v>
      </c>
      <c r="GG50">
        <v>2</v>
      </c>
      <c r="GH50">
        <v>1</v>
      </c>
      <c r="GI50">
        <v>-2</v>
      </c>
      <c r="GJ50">
        <v>0</v>
      </c>
      <c r="GK50">
        <v>0</v>
      </c>
      <c r="GL50">
        <f t="shared" si="55"/>
        <v>0</v>
      </c>
      <c r="GM50">
        <f t="shared" si="56"/>
        <v>92.3</v>
      </c>
      <c r="GN50">
        <f t="shared" si="57"/>
        <v>92.3</v>
      </c>
      <c r="GO50">
        <f t="shared" si="58"/>
        <v>0</v>
      </c>
      <c r="GP50">
        <f t="shared" si="59"/>
        <v>0</v>
      </c>
      <c r="GR50">
        <v>0</v>
      </c>
      <c r="GS50">
        <v>3</v>
      </c>
      <c r="GT50">
        <v>0</v>
      </c>
      <c r="GU50" t="s">
        <v>3</v>
      </c>
      <c r="GV50">
        <f t="shared" si="60"/>
        <v>0</v>
      </c>
      <c r="GW50">
        <v>1</v>
      </c>
      <c r="GX50">
        <f t="shared" si="61"/>
        <v>0</v>
      </c>
      <c r="HA50">
        <v>0</v>
      </c>
      <c r="HB50">
        <v>0</v>
      </c>
      <c r="HC50">
        <f t="shared" si="62"/>
        <v>0</v>
      </c>
      <c r="HE50" t="s">
        <v>3</v>
      </c>
      <c r="HF50" t="s">
        <v>3</v>
      </c>
      <c r="IK50">
        <v>0</v>
      </c>
    </row>
    <row r="51" spans="1:245" x14ac:dyDescent="0.2">
      <c r="A51">
        <v>18</v>
      </c>
      <c r="B51">
        <v>1</v>
      </c>
      <c r="C51">
        <v>47</v>
      </c>
      <c r="E51" t="s">
        <v>111</v>
      </c>
      <c r="F51" t="s">
        <v>112</v>
      </c>
      <c r="G51" t="s">
        <v>113</v>
      </c>
      <c r="H51" t="s">
        <v>37</v>
      </c>
      <c r="I51">
        <f>I48*J51</f>
        <v>5</v>
      </c>
      <c r="J51">
        <v>1.6666666666666667</v>
      </c>
      <c r="O51">
        <f t="shared" si="28"/>
        <v>117.25</v>
      </c>
      <c r="P51">
        <f t="shared" si="29"/>
        <v>117.25</v>
      </c>
      <c r="Q51">
        <f t="shared" si="30"/>
        <v>0</v>
      </c>
      <c r="R51">
        <f t="shared" si="31"/>
        <v>0</v>
      </c>
      <c r="S51">
        <f t="shared" si="32"/>
        <v>0</v>
      </c>
      <c r="T51">
        <f t="shared" si="33"/>
        <v>0</v>
      </c>
      <c r="U51">
        <f t="shared" si="34"/>
        <v>0</v>
      </c>
      <c r="V51">
        <f t="shared" si="35"/>
        <v>0</v>
      </c>
      <c r="W51">
        <f t="shared" si="36"/>
        <v>0</v>
      </c>
      <c r="X51">
        <f t="shared" si="37"/>
        <v>0</v>
      </c>
      <c r="Y51">
        <f t="shared" si="38"/>
        <v>0</v>
      </c>
      <c r="AA51">
        <v>52156631</v>
      </c>
      <c r="AB51">
        <f t="shared" si="39"/>
        <v>23.45</v>
      </c>
      <c r="AC51">
        <f t="shared" si="40"/>
        <v>23.45</v>
      </c>
      <c r="AD51">
        <f>ROUND((((ET51)-(EU51))+AE51),2)</f>
        <v>0</v>
      </c>
      <c r="AE51">
        <f t="shared" si="68"/>
        <v>0</v>
      </c>
      <c r="AF51">
        <f t="shared" si="68"/>
        <v>0</v>
      </c>
      <c r="AG51">
        <f t="shared" si="41"/>
        <v>0</v>
      </c>
      <c r="AH51">
        <f t="shared" si="69"/>
        <v>0</v>
      </c>
      <c r="AI51">
        <f t="shared" si="69"/>
        <v>0</v>
      </c>
      <c r="AJ51">
        <f t="shared" si="42"/>
        <v>0</v>
      </c>
      <c r="AK51">
        <v>23.45</v>
      </c>
      <c r="AL51">
        <v>23.45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105</v>
      </c>
      <c r="AU51">
        <v>51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48</v>
      </c>
      <c r="BM51">
        <v>33001</v>
      </c>
      <c r="BN51">
        <v>0</v>
      </c>
      <c r="BO51" t="s">
        <v>3</v>
      </c>
      <c r="BP51">
        <v>0</v>
      </c>
      <c r="BQ51">
        <v>2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105</v>
      </c>
      <c r="CA51">
        <v>60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3"/>
        <v>117.25</v>
      </c>
      <c r="CQ51">
        <f t="shared" si="44"/>
        <v>23.45</v>
      </c>
      <c r="CR51">
        <f t="shared" si="45"/>
        <v>0</v>
      </c>
      <c r="CS51">
        <f t="shared" si="46"/>
        <v>0</v>
      </c>
      <c r="CT51">
        <f t="shared" si="47"/>
        <v>0</v>
      </c>
      <c r="CU51">
        <f t="shared" si="48"/>
        <v>0</v>
      </c>
      <c r="CV51">
        <f t="shared" si="49"/>
        <v>0</v>
      </c>
      <c r="CW51">
        <f t="shared" si="50"/>
        <v>0</v>
      </c>
      <c r="CX51">
        <f t="shared" si="51"/>
        <v>0</v>
      </c>
      <c r="CY51">
        <f t="shared" si="52"/>
        <v>0</v>
      </c>
      <c r="CZ51">
        <f t="shared" si="53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1010</v>
      </c>
      <c r="DV51" t="s">
        <v>37</v>
      </c>
      <c r="DW51" t="s">
        <v>37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50663971</v>
      </c>
      <c r="EF51">
        <v>2</v>
      </c>
      <c r="EG51" t="s">
        <v>22</v>
      </c>
      <c r="EH51">
        <v>0</v>
      </c>
      <c r="EI51" t="s">
        <v>3</v>
      </c>
      <c r="EJ51">
        <v>1</v>
      </c>
      <c r="EK51">
        <v>33001</v>
      </c>
      <c r="EL51" t="s">
        <v>23</v>
      </c>
      <c r="EM51" t="s">
        <v>24</v>
      </c>
      <c r="EO51" t="s">
        <v>3</v>
      </c>
      <c r="EQ51">
        <v>0</v>
      </c>
      <c r="ER51">
        <v>23.45</v>
      </c>
      <c r="ES51">
        <v>23.45</v>
      </c>
      <c r="ET51">
        <v>0</v>
      </c>
      <c r="EU51">
        <v>0</v>
      </c>
      <c r="EV51">
        <v>0</v>
      </c>
      <c r="EW51">
        <v>0</v>
      </c>
      <c r="EX51">
        <v>0</v>
      </c>
      <c r="EZ51">
        <v>5</v>
      </c>
      <c r="FC51">
        <v>1</v>
      </c>
      <c r="FD51">
        <v>18</v>
      </c>
      <c r="FF51">
        <v>226.52</v>
      </c>
      <c r="FQ51">
        <v>0</v>
      </c>
      <c r="FR51">
        <f t="shared" si="54"/>
        <v>0</v>
      </c>
      <c r="FS51">
        <v>0</v>
      </c>
      <c r="FU51" t="s">
        <v>25</v>
      </c>
      <c r="FX51">
        <v>105</v>
      </c>
      <c r="FY51">
        <v>51</v>
      </c>
      <c r="GA51" t="s">
        <v>114</v>
      </c>
      <c r="GD51">
        <v>1</v>
      </c>
      <c r="GF51">
        <v>-1807843564</v>
      </c>
      <c r="GG51">
        <v>2</v>
      </c>
      <c r="GH51">
        <v>3</v>
      </c>
      <c r="GI51">
        <v>3</v>
      </c>
      <c r="GJ51">
        <v>0</v>
      </c>
      <c r="GK51">
        <v>0</v>
      </c>
      <c r="GL51">
        <f t="shared" si="55"/>
        <v>0</v>
      </c>
      <c r="GM51">
        <f t="shared" si="56"/>
        <v>117.25</v>
      </c>
      <c r="GN51">
        <f t="shared" si="57"/>
        <v>117.25</v>
      </c>
      <c r="GO51">
        <f t="shared" si="58"/>
        <v>0</v>
      </c>
      <c r="GP51">
        <f t="shared" si="59"/>
        <v>0</v>
      </c>
      <c r="GR51">
        <v>1</v>
      </c>
      <c r="GS51">
        <v>1</v>
      </c>
      <c r="GT51">
        <v>0</v>
      </c>
      <c r="GU51" t="s">
        <v>3</v>
      </c>
      <c r="GV51">
        <f t="shared" si="60"/>
        <v>0</v>
      </c>
      <c r="GW51">
        <v>1</v>
      </c>
      <c r="GX51">
        <f t="shared" si="61"/>
        <v>0</v>
      </c>
      <c r="HA51">
        <v>0</v>
      </c>
      <c r="HB51">
        <v>0</v>
      </c>
      <c r="HC51">
        <f t="shared" si="62"/>
        <v>0</v>
      </c>
      <c r="HE51" t="s">
        <v>26</v>
      </c>
      <c r="HF51" t="s">
        <v>50</v>
      </c>
      <c r="IK51">
        <v>0</v>
      </c>
    </row>
    <row r="52" spans="1:245" x14ac:dyDescent="0.2">
      <c r="A52">
        <v>17</v>
      </c>
      <c r="B52">
        <v>1</v>
      </c>
      <c r="C52">
        <f>ROW(SmtRes!A51)</f>
        <v>51</v>
      </c>
      <c r="D52">
        <f>ROW(EtalonRes!A51)</f>
        <v>51</v>
      </c>
      <c r="E52" t="s">
        <v>115</v>
      </c>
      <c r="F52" t="s">
        <v>116</v>
      </c>
      <c r="G52" t="s">
        <v>117</v>
      </c>
      <c r="H52" t="s">
        <v>118</v>
      </c>
      <c r="I52">
        <v>5</v>
      </c>
      <c r="J52">
        <v>0</v>
      </c>
      <c r="O52">
        <f t="shared" si="28"/>
        <v>199.3</v>
      </c>
      <c r="P52">
        <f t="shared" si="29"/>
        <v>155.75</v>
      </c>
      <c r="Q52">
        <f t="shared" si="30"/>
        <v>16.649999999999999</v>
      </c>
      <c r="R52">
        <f t="shared" si="31"/>
        <v>0</v>
      </c>
      <c r="S52">
        <f t="shared" si="32"/>
        <v>26.9</v>
      </c>
      <c r="T52">
        <f t="shared" si="33"/>
        <v>0</v>
      </c>
      <c r="U52">
        <f t="shared" si="34"/>
        <v>3.91</v>
      </c>
      <c r="V52">
        <f t="shared" si="35"/>
        <v>0</v>
      </c>
      <c r="W52">
        <f t="shared" si="36"/>
        <v>0</v>
      </c>
      <c r="X52">
        <f t="shared" si="37"/>
        <v>28.25</v>
      </c>
      <c r="Y52">
        <f t="shared" si="38"/>
        <v>13.72</v>
      </c>
      <c r="AA52">
        <v>52156631</v>
      </c>
      <c r="AB52">
        <f t="shared" si="39"/>
        <v>39.86</v>
      </c>
      <c r="AC52">
        <f t="shared" si="40"/>
        <v>31.15</v>
      </c>
      <c r="AD52">
        <f>ROUND(((((ET52*1.25))-((EU52*1.25)))+AE52),2)</f>
        <v>3.33</v>
      </c>
      <c r="AE52">
        <f>ROUND(((EU52*1.25)),2)</f>
        <v>0</v>
      </c>
      <c r="AF52">
        <f>ROUND(((EV52*1.15)),2)</f>
        <v>5.38</v>
      </c>
      <c r="AG52">
        <f t="shared" si="41"/>
        <v>0</v>
      </c>
      <c r="AH52">
        <f>((EW52*1.15))</f>
        <v>0.78200000000000003</v>
      </c>
      <c r="AI52">
        <f>((EX52*1.25))</f>
        <v>0</v>
      </c>
      <c r="AJ52">
        <f t="shared" si="42"/>
        <v>0</v>
      </c>
      <c r="AK52">
        <v>38.49</v>
      </c>
      <c r="AL52">
        <v>31.15</v>
      </c>
      <c r="AM52">
        <v>2.66</v>
      </c>
      <c r="AN52">
        <v>0</v>
      </c>
      <c r="AO52">
        <v>4.68</v>
      </c>
      <c r="AP52">
        <v>0</v>
      </c>
      <c r="AQ52">
        <v>0.68</v>
      </c>
      <c r="AR52">
        <v>0</v>
      </c>
      <c r="AS52">
        <v>0</v>
      </c>
      <c r="AT52">
        <v>105</v>
      </c>
      <c r="AU52">
        <v>51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1</v>
      </c>
      <c r="BJ52" t="s">
        <v>119</v>
      </c>
      <c r="BM52">
        <v>33001</v>
      </c>
      <c r="BN52">
        <v>0</v>
      </c>
      <c r="BO52" t="s">
        <v>3</v>
      </c>
      <c r="BP52">
        <v>0</v>
      </c>
      <c r="BQ52">
        <v>2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105</v>
      </c>
      <c r="CA52">
        <v>60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3"/>
        <v>199.3</v>
      </c>
      <c r="CQ52">
        <f t="shared" si="44"/>
        <v>31.15</v>
      </c>
      <c r="CR52">
        <f t="shared" si="45"/>
        <v>3.33</v>
      </c>
      <c r="CS52">
        <f t="shared" si="46"/>
        <v>0</v>
      </c>
      <c r="CT52">
        <f t="shared" si="47"/>
        <v>5.38</v>
      </c>
      <c r="CU52">
        <f t="shared" si="48"/>
        <v>0</v>
      </c>
      <c r="CV52">
        <f t="shared" si="49"/>
        <v>0.78200000000000003</v>
      </c>
      <c r="CW52">
        <f t="shared" si="50"/>
        <v>0</v>
      </c>
      <c r="CX52">
        <f t="shared" si="51"/>
        <v>0</v>
      </c>
      <c r="CY52">
        <f t="shared" si="52"/>
        <v>28.245000000000001</v>
      </c>
      <c r="CZ52">
        <f t="shared" si="53"/>
        <v>13.718999999999999</v>
      </c>
      <c r="DC52" t="s">
        <v>3</v>
      </c>
      <c r="DD52" t="s">
        <v>3</v>
      </c>
      <c r="DE52" t="s">
        <v>11</v>
      </c>
      <c r="DF52" t="s">
        <v>11</v>
      </c>
      <c r="DG52" t="s">
        <v>12</v>
      </c>
      <c r="DH52" t="s">
        <v>3</v>
      </c>
      <c r="DI52" t="s">
        <v>12</v>
      </c>
      <c r="DJ52" t="s">
        <v>11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118</v>
      </c>
      <c r="DW52" t="s">
        <v>118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50663971</v>
      </c>
      <c r="EF52">
        <v>2</v>
      </c>
      <c r="EG52" t="s">
        <v>22</v>
      </c>
      <c r="EH52">
        <v>0</v>
      </c>
      <c r="EI52" t="s">
        <v>3</v>
      </c>
      <c r="EJ52">
        <v>1</v>
      </c>
      <c r="EK52">
        <v>33001</v>
      </c>
      <c r="EL52" t="s">
        <v>23</v>
      </c>
      <c r="EM52" t="s">
        <v>24</v>
      </c>
      <c r="EO52" t="s">
        <v>3</v>
      </c>
      <c r="EQ52">
        <v>0</v>
      </c>
      <c r="ER52">
        <v>38.49</v>
      </c>
      <c r="ES52">
        <v>31.15</v>
      </c>
      <c r="ET52">
        <v>2.66</v>
      </c>
      <c r="EU52">
        <v>0</v>
      </c>
      <c r="EV52">
        <v>4.68</v>
      </c>
      <c r="EW52">
        <v>0.68</v>
      </c>
      <c r="EX52">
        <v>0</v>
      </c>
      <c r="EY52">
        <v>0</v>
      </c>
      <c r="FQ52">
        <v>0</v>
      </c>
      <c r="FR52">
        <f t="shared" si="54"/>
        <v>0</v>
      </c>
      <c r="FS52">
        <v>0</v>
      </c>
      <c r="FU52" t="s">
        <v>25</v>
      </c>
      <c r="FX52">
        <v>105</v>
      </c>
      <c r="FY52">
        <v>51</v>
      </c>
      <c r="GA52" t="s">
        <v>3</v>
      </c>
      <c r="GD52">
        <v>1</v>
      </c>
      <c r="GF52">
        <v>-271519637</v>
      </c>
      <c r="GG52">
        <v>2</v>
      </c>
      <c r="GH52">
        <v>1</v>
      </c>
      <c r="GI52">
        <v>-2</v>
      </c>
      <c r="GJ52">
        <v>0</v>
      </c>
      <c r="GK52">
        <v>0</v>
      </c>
      <c r="GL52">
        <f t="shared" si="55"/>
        <v>0</v>
      </c>
      <c r="GM52">
        <f t="shared" si="56"/>
        <v>241.27</v>
      </c>
      <c r="GN52">
        <f t="shared" si="57"/>
        <v>241.27</v>
      </c>
      <c r="GO52">
        <f t="shared" si="58"/>
        <v>0</v>
      </c>
      <c r="GP52">
        <f t="shared" si="59"/>
        <v>0</v>
      </c>
      <c r="GR52">
        <v>0</v>
      </c>
      <c r="GS52">
        <v>3</v>
      </c>
      <c r="GT52">
        <v>0</v>
      </c>
      <c r="GU52" t="s">
        <v>3</v>
      </c>
      <c r="GV52">
        <f t="shared" si="60"/>
        <v>0</v>
      </c>
      <c r="GW52">
        <v>1</v>
      </c>
      <c r="GX52">
        <f t="shared" si="61"/>
        <v>0</v>
      </c>
      <c r="HA52">
        <v>0</v>
      </c>
      <c r="HB52">
        <v>0</v>
      </c>
      <c r="HC52">
        <f t="shared" si="62"/>
        <v>0</v>
      </c>
      <c r="HE52" t="s">
        <v>3</v>
      </c>
      <c r="HF52" t="s">
        <v>3</v>
      </c>
      <c r="IK52">
        <v>0</v>
      </c>
    </row>
    <row r="53" spans="1:245" x14ac:dyDescent="0.2">
      <c r="A53">
        <v>17</v>
      </c>
      <c r="B53">
        <v>1</v>
      </c>
      <c r="C53">
        <f>ROW(SmtRes!A61)</f>
        <v>61</v>
      </c>
      <c r="D53">
        <f>ROW(EtalonRes!A59)</f>
        <v>59</v>
      </c>
      <c r="E53" t="s">
        <v>120</v>
      </c>
      <c r="F53" t="s">
        <v>121</v>
      </c>
      <c r="G53" t="s">
        <v>122</v>
      </c>
      <c r="H53" t="s">
        <v>123</v>
      </c>
      <c r="I53">
        <v>5</v>
      </c>
      <c r="J53">
        <v>0</v>
      </c>
      <c r="O53">
        <f t="shared" si="28"/>
        <v>1155.05</v>
      </c>
      <c r="P53">
        <f t="shared" si="29"/>
        <v>98.1</v>
      </c>
      <c r="Q53">
        <f t="shared" si="30"/>
        <v>912.45</v>
      </c>
      <c r="R53">
        <f t="shared" si="31"/>
        <v>84.2</v>
      </c>
      <c r="S53">
        <f t="shared" si="32"/>
        <v>144.5</v>
      </c>
      <c r="T53">
        <f t="shared" si="33"/>
        <v>0</v>
      </c>
      <c r="U53">
        <f t="shared" si="34"/>
        <v>18.2</v>
      </c>
      <c r="V53">
        <f t="shared" si="35"/>
        <v>6.35</v>
      </c>
      <c r="W53">
        <f t="shared" si="36"/>
        <v>0</v>
      </c>
      <c r="X53">
        <f t="shared" si="37"/>
        <v>217.27</v>
      </c>
      <c r="Y53">
        <f t="shared" si="38"/>
        <v>148.66</v>
      </c>
      <c r="AA53">
        <v>52156631</v>
      </c>
      <c r="AB53">
        <f t="shared" si="39"/>
        <v>231.01</v>
      </c>
      <c r="AC53">
        <f t="shared" si="40"/>
        <v>19.62</v>
      </c>
      <c r="AD53">
        <f t="shared" ref="AD53:AD58" si="70">ROUND((((ET53)-(EU53))+AE53),2)</f>
        <v>182.49</v>
      </c>
      <c r="AE53">
        <f t="shared" ref="AE53:AF58" si="71">ROUND((EU53),2)</f>
        <v>16.84</v>
      </c>
      <c r="AF53">
        <f t="shared" si="71"/>
        <v>28.9</v>
      </c>
      <c r="AG53">
        <f t="shared" si="41"/>
        <v>0</v>
      </c>
      <c r="AH53">
        <f t="shared" ref="AH53:AI58" si="72">(EW53)</f>
        <v>3.64</v>
      </c>
      <c r="AI53">
        <f t="shared" si="72"/>
        <v>1.27</v>
      </c>
      <c r="AJ53">
        <f t="shared" si="42"/>
        <v>0</v>
      </c>
      <c r="AK53">
        <v>231.01</v>
      </c>
      <c r="AL53">
        <v>19.62</v>
      </c>
      <c r="AM53">
        <v>182.49</v>
      </c>
      <c r="AN53">
        <v>16.84</v>
      </c>
      <c r="AO53">
        <v>28.9</v>
      </c>
      <c r="AP53">
        <v>0</v>
      </c>
      <c r="AQ53">
        <v>3.64</v>
      </c>
      <c r="AR53">
        <v>1.27</v>
      </c>
      <c r="AS53">
        <v>0</v>
      </c>
      <c r="AT53">
        <v>95</v>
      </c>
      <c r="AU53">
        <v>65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2</v>
      </c>
      <c r="BJ53" t="s">
        <v>124</v>
      </c>
      <c r="BM53">
        <v>108001</v>
      </c>
      <c r="BN53">
        <v>0</v>
      </c>
      <c r="BO53" t="s">
        <v>3</v>
      </c>
      <c r="BP53">
        <v>0</v>
      </c>
      <c r="BQ53">
        <v>3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3"/>
        <v>1155.0500000000002</v>
      </c>
      <c r="CQ53">
        <f t="shared" si="44"/>
        <v>19.62</v>
      </c>
      <c r="CR53">
        <f t="shared" si="45"/>
        <v>182.49</v>
      </c>
      <c r="CS53">
        <f t="shared" si="46"/>
        <v>16.84</v>
      </c>
      <c r="CT53">
        <f t="shared" si="47"/>
        <v>28.9</v>
      </c>
      <c r="CU53">
        <f t="shared" si="48"/>
        <v>0</v>
      </c>
      <c r="CV53">
        <f t="shared" si="49"/>
        <v>3.64</v>
      </c>
      <c r="CW53">
        <f t="shared" si="50"/>
        <v>1.27</v>
      </c>
      <c r="CX53">
        <f t="shared" si="51"/>
        <v>0</v>
      </c>
      <c r="CY53">
        <f t="shared" si="52"/>
        <v>217.26499999999999</v>
      </c>
      <c r="CZ53">
        <f t="shared" si="53"/>
        <v>148.655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123</v>
      </c>
      <c r="DW53" t="s">
        <v>123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50663799</v>
      </c>
      <c r="EF53">
        <v>3</v>
      </c>
      <c r="EG53" t="s">
        <v>16</v>
      </c>
      <c r="EH53">
        <v>0</v>
      </c>
      <c r="EI53" t="s">
        <v>3</v>
      </c>
      <c r="EJ53">
        <v>2</v>
      </c>
      <c r="EK53">
        <v>108001</v>
      </c>
      <c r="EL53" t="s">
        <v>125</v>
      </c>
      <c r="EM53" t="s">
        <v>126</v>
      </c>
      <c r="EO53" t="s">
        <v>3</v>
      </c>
      <c r="EQ53">
        <v>0</v>
      </c>
      <c r="ER53">
        <v>231.01</v>
      </c>
      <c r="ES53">
        <v>19.62</v>
      </c>
      <c r="ET53">
        <v>182.49</v>
      </c>
      <c r="EU53">
        <v>16.84</v>
      </c>
      <c r="EV53">
        <v>28.9</v>
      </c>
      <c r="EW53">
        <v>3.64</v>
      </c>
      <c r="EX53">
        <v>1.27</v>
      </c>
      <c r="EY53">
        <v>0</v>
      </c>
      <c r="FQ53">
        <v>0</v>
      </c>
      <c r="FR53">
        <f t="shared" si="54"/>
        <v>0</v>
      </c>
      <c r="FS53">
        <v>0</v>
      </c>
      <c r="FX53">
        <v>95</v>
      </c>
      <c r="FY53">
        <v>65</v>
      </c>
      <c r="GA53" t="s">
        <v>3</v>
      </c>
      <c r="GD53">
        <v>1</v>
      </c>
      <c r="GF53">
        <v>1438183574</v>
      </c>
      <c r="GG53">
        <v>2</v>
      </c>
      <c r="GH53">
        <v>1</v>
      </c>
      <c r="GI53">
        <v>-2</v>
      </c>
      <c r="GJ53">
        <v>0</v>
      </c>
      <c r="GK53">
        <v>0</v>
      </c>
      <c r="GL53">
        <f t="shared" si="55"/>
        <v>0</v>
      </c>
      <c r="GM53">
        <f t="shared" si="56"/>
        <v>1520.98</v>
      </c>
      <c r="GN53">
        <f t="shared" si="57"/>
        <v>0</v>
      </c>
      <c r="GO53">
        <f t="shared" si="58"/>
        <v>1520.98</v>
      </c>
      <c r="GP53">
        <f t="shared" si="59"/>
        <v>0</v>
      </c>
      <c r="GR53">
        <v>0</v>
      </c>
      <c r="GS53">
        <v>3</v>
      </c>
      <c r="GT53">
        <v>0</v>
      </c>
      <c r="GU53" t="s">
        <v>3</v>
      </c>
      <c r="GV53">
        <f t="shared" si="60"/>
        <v>0</v>
      </c>
      <c r="GW53">
        <v>1</v>
      </c>
      <c r="GX53">
        <f t="shared" si="61"/>
        <v>0</v>
      </c>
      <c r="HA53">
        <v>0</v>
      </c>
      <c r="HB53">
        <v>0</v>
      </c>
      <c r="HC53">
        <f t="shared" si="62"/>
        <v>0</v>
      </c>
      <c r="HE53" t="s">
        <v>3</v>
      </c>
      <c r="HF53" t="s">
        <v>3</v>
      </c>
      <c r="IK53">
        <v>0</v>
      </c>
    </row>
    <row r="54" spans="1:245" x14ac:dyDescent="0.2">
      <c r="A54">
        <v>18</v>
      </c>
      <c r="B54">
        <v>1</v>
      </c>
      <c r="C54">
        <v>59</v>
      </c>
      <c r="E54" t="s">
        <v>127</v>
      </c>
      <c r="F54" t="s">
        <v>128</v>
      </c>
      <c r="G54" t="s">
        <v>129</v>
      </c>
      <c r="H54" t="s">
        <v>37</v>
      </c>
      <c r="I54">
        <f>I53*J54</f>
        <v>5</v>
      </c>
      <c r="J54">
        <v>1</v>
      </c>
      <c r="O54">
        <f t="shared" si="28"/>
        <v>3616.8</v>
      </c>
      <c r="P54">
        <f t="shared" si="29"/>
        <v>3616.8</v>
      </c>
      <c r="Q54">
        <f t="shared" si="30"/>
        <v>0</v>
      </c>
      <c r="R54">
        <f t="shared" si="31"/>
        <v>0</v>
      </c>
      <c r="S54">
        <f t="shared" si="32"/>
        <v>0</v>
      </c>
      <c r="T54">
        <f t="shared" si="33"/>
        <v>0</v>
      </c>
      <c r="U54">
        <f t="shared" si="34"/>
        <v>0</v>
      </c>
      <c r="V54">
        <f t="shared" si="35"/>
        <v>0</v>
      </c>
      <c r="W54">
        <f t="shared" si="36"/>
        <v>0</v>
      </c>
      <c r="X54">
        <f t="shared" si="37"/>
        <v>0</v>
      </c>
      <c r="Y54">
        <f t="shared" si="38"/>
        <v>0</v>
      </c>
      <c r="AA54">
        <v>52156631</v>
      </c>
      <c r="AB54">
        <f t="shared" si="39"/>
        <v>723.36</v>
      </c>
      <c r="AC54">
        <f t="shared" si="40"/>
        <v>723.36</v>
      </c>
      <c r="AD54">
        <f t="shared" si="70"/>
        <v>0</v>
      </c>
      <c r="AE54">
        <f t="shared" si="71"/>
        <v>0</v>
      </c>
      <c r="AF54">
        <f t="shared" si="71"/>
        <v>0</v>
      </c>
      <c r="AG54">
        <f t="shared" si="41"/>
        <v>0</v>
      </c>
      <c r="AH54">
        <f t="shared" si="72"/>
        <v>0</v>
      </c>
      <c r="AI54">
        <f t="shared" si="72"/>
        <v>0</v>
      </c>
      <c r="AJ54">
        <f t="shared" si="42"/>
        <v>0</v>
      </c>
      <c r="AK54">
        <v>723.36</v>
      </c>
      <c r="AL54">
        <v>723.36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1</v>
      </c>
      <c r="BJ54" t="s">
        <v>130</v>
      </c>
      <c r="BM54">
        <v>500001</v>
      </c>
      <c r="BN54">
        <v>0</v>
      </c>
      <c r="BO54" t="s">
        <v>3</v>
      </c>
      <c r="BP54">
        <v>0</v>
      </c>
      <c r="BQ54">
        <v>8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0</v>
      </c>
      <c r="CA54">
        <v>0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3"/>
        <v>3616.8</v>
      </c>
      <c r="CQ54">
        <f t="shared" si="44"/>
        <v>723.36</v>
      </c>
      <c r="CR54">
        <f t="shared" si="45"/>
        <v>0</v>
      </c>
      <c r="CS54">
        <f t="shared" si="46"/>
        <v>0</v>
      </c>
      <c r="CT54">
        <f t="shared" si="47"/>
        <v>0</v>
      </c>
      <c r="CU54">
        <f t="shared" si="48"/>
        <v>0</v>
      </c>
      <c r="CV54">
        <f t="shared" si="49"/>
        <v>0</v>
      </c>
      <c r="CW54">
        <f t="shared" si="50"/>
        <v>0</v>
      </c>
      <c r="CX54">
        <f t="shared" si="51"/>
        <v>0</v>
      </c>
      <c r="CY54">
        <f t="shared" si="52"/>
        <v>0</v>
      </c>
      <c r="CZ54">
        <f t="shared" si="53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1010</v>
      </c>
      <c r="DV54" t="s">
        <v>37</v>
      </c>
      <c r="DW54" t="s">
        <v>37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50663849</v>
      </c>
      <c r="EF54">
        <v>8</v>
      </c>
      <c r="EG54" t="s">
        <v>66</v>
      </c>
      <c r="EH54">
        <v>0</v>
      </c>
      <c r="EI54" t="s">
        <v>3</v>
      </c>
      <c r="EJ54">
        <v>1</v>
      </c>
      <c r="EK54">
        <v>500001</v>
      </c>
      <c r="EL54" t="s">
        <v>67</v>
      </c>
      <c r="EM54" t="s">
        <v>68</v>
      </c>
      <c r="EO54" t="s">
        <v>3</v>
      </c>
      <c r="EQ54">
        <v>0</v>
      </c>
      <c r="ER54">
        <v>723.36</v>
      </c>
      <c r="ES54">
        <v>723.36</v>
      </c>
      <c r="ET54">
        <v>0</v>
      </c>
      <c r="EU54">
        <v>0</v>
      </c>
      <c r="EV54">
        <v>0</v>
      </c>
      <c r="EW54">
        <v>0</v>
      </c>
      <c r="EX54">
        <v>0</v>
      </c>
      <c r="FQ54">
        <v>0</v>
      </c>
      <c r="FR54">
        <f t="shared" si="54"/>
        <v>0</v>
      </c>
      <c r="FS54">
        <v>0</v>
      </c>
      <c r="FX54">
        <v>0</v>
      </c>
      <c r="FY54">
        <v>0</v>
      </c>
      <c r="GA54" t="s">
        <v>3</v>
      </c>
      <c r="GD54">
        <v>1</v>
      </c>
      <c r="GF54">
        <v>1821172391</v>
      </c>
      <c r="GG54">
        <v>2</v>
      </c>
      <c r="GH54">
        <v>1</v>
      </c>
      <c r="GI54">
        <v>-2</v>
      </c>
      <c r="GJ54">
        <v>0</v>
      </c>
      <c r="GK54">
        <v>0</v>
      </c>
      <c r="GL54">
        <f t="shared" si="55"/>
        <v>0</v>
      </c>
      <c r="GM54">
        <f t="shared" si="56"/>
        <v>3616.8</v>
      </c>
      <c r="GN54">
        <f t="shared" si="57"/>
        <v>3616.8</v>
      </c>
      <c r="GO54">
        <f t="shared" si="58"/>
        <v>0</v>
      </c>
      <c r="GP54">
        <f t="shared" si="59"/>
        <v>0</v>
      </c>
      <c r="GR54">
        <v>0</v>
      </c>
      <c r="GS54">
        <v>3</v>
      </c>
      <c r="GT54">
        <v>0</v>
      </c>
      <c r="GU54" t="s">
        <v>3</v>
      </c>
      <c r="GV54">
        <f t="shared" si="60"/>
        <v>0</v>
      </c>
      <c r="GW54">
        <v>1</v>
      </c>
      <c r="GX54">
        <f t="shared" si="61"/>
        <v>0</v>
      </c>
      <c r="HA54">
        <v>0</v>
      </c>
      <c r="HB54">
        <v>0</v>
      </c>
      <c r="HC54">
        <f t="shared" si="62"/>
        <v>0</v>
      </c>
      <c r="HE54" t="s">
        <v>3</v>
      </c>
      <c r="HF54" t="s">
        <v>3</v>
      </c>
      <c r="IK54">
        <v>0</v>
      </c>
    </row>
    <row r="55" spans="1:245" x14ac:dyDescent="0.2">
      <c r="A55">
        <v>18</v>
      </c>
      <c r="B55">
        <v>1</v>
      </c>
      <c r="C55">
        <v>60</v>
      </c>
      <c r="E55" t="s">
        <v>131</v>
      </c>
      <c r="F55" t="s">
        <v>132</v>
      </c>
      <c r="G55" t="s">
        <v>133</v>
      </c>
      <c r="H55" t="s">
        <v>42</v>
      </c>
      <c r="I55">
        <f>I53*J55</f>
        <v>1.5299999999999999E-2</v>
      </c>
      <c r="J55">
        <v>3.0599999999999998E-3</v>
      </c>
      <c r="O55">
        <f t="shared" si="28"/>
        <v>52.46</v>
      </c>
      <c r="P55">
        <f t="shared" si="29"/>
        <v>52.46</v>
      </c>
      <c r="Q55">
        <f t="shared" si="30"/>
        <v>0</v>
      </c>
      <c r="R55">
        <f t="shared" si="31"/>
        <v>0</v>
      </c>
      <c r="S55">
        <f t="shared" si="32"/>
        <v>0</v>
      </c>
      <c r="T55">
        <f t="shared" si="33"/>
        <v>0</v>
      </c>
      <c r="U55">
        <f t="shared" si="34"/>
        <v>0</v>
      </c>
      <c r="V55">
        <f t="shared" si="35"/>
        <v>0</v>
      </c>
      <c r="W55">
        <f t="shared" si="36"/>
        <v>0</v>
      </c>
      <c r="X55">
        <f t="shared" si="37"/>
        <v>0</v>
      </c>
      <c r="Y55">
        <f t="shared" si="38"/>
        <v>0</v>
      </c>
      <c r="AA55">
        <v>52156631</v>
      </c>
      <c r="AB55">
        <f t="shared" si="39"/>
        <v>3428.99</v>
      </c>
      <c r="AC55">
        <f t="shared" si="40"/>
        <v>3428.99</v>
      </c>
      <c r="AD55">
        <f t="shared" si="70"/>
        <v>0</v>
      </c>
      <c r="AE55">
        <f t="shared" si="71"/>
        <v>0</v>
      </c>
      <c r="AF55">
        <f t="shared" si="71"/>
        <v>0</v>
      </c>
      <c r="AG55">
        <f t="shared" si="41"/>
        <v>0</v>
      </c>
      <c r="AH55">
        <f t="shared" si="72"/>
        <v>0</v>
      </c>
      <c r="AI55">
        <f t="shared" si="72"/>
        <v>0</v>
      </c>
      <c r="AJ55">
        <f t="shared" si="42"/>
        <v>0</v>
      </c>
      <c r="AK55">
        <v>3428.99</v>
      </c>
      <c r="AL55">
        <v>3428.99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1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2</v>
      </c>
      <c r="BJ55" t="s">
        <v>134</v>
      </c>
      <c r="BM55">
        <v>500002</v>
      </c>
      <c r="BN55">
        <v>0</v>
      </c>
      <c r="BO55" t="s">
        <v>3</v>
      </c>
      <c r="BP55">
        <v>0</v>
      </c>
      <c r="BQ55">
        <v>12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E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43"/>
        <v>52.46</v>
      </c>
      <c r="CQ55">
        <f t="shared" si="44"/>
        <v>3428.99</v>
      </c>
      <c r="CR55">
        <f t="shared" si="45"/>
        <v>0</v>
      </c>
      <c r="CS55">
        <f t="shared" si="46"/>
        <v>0</v>
      </c>
      <c r="CT55">
        <f t="shared" si="47"/>
        <v>0</v>
      </c>
      <c r="CU55">
        <f t="shared" si="48"/>
        <v>0</v>
      </c>
      <c r="CV55">
        <f t="shared" si="49"/>
        <v>0</v>
      </c>
      <c r="CW55">
        <f t="shared" si="50"/>
        <v>0</v>
      </c>
      <c r="CX55">
        <f t="shared" si="51"/>
        <v>0</v>
      </c>
      <c r="CY55">
        <f t="shared" si="52"/>
        <v>0</v>
      </c>
      <c r="CZ55">
        <f t="shared" si="53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42</v>
      </c>
      <c r="DW55" t="s">
        <v>44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50663850</v>
      </c>
      <c r="EF55">
        <v>12</v>
      </c>
      <c r="EG55" t="s">
        <v>77</v>
      </c>
      <c r="EH55">
        <v>0</v>
      </c>
      <c r="EI55" t="s">
        <v>3</v>
      </c>
      <c r="EJ55">
        <v>2</v>
      </c>
      <c r="EK55">
        <v>500002</v>
      </c>
      <c r="EL55" t="s">
        <v>78</v>
      </c>
      <c r="EM55" t="s">
        <v>79</v>
      </c>
      <c r="EO55" t="s">
        <v>3</v>
      </c>
      <c r="EQ55">
        <v>0</v>
      </c>
      <c r="ER55">
        <v>3428.99</v>
      </c>
      <c r="ES55">
        <v>3428.99</v>
      </c>
      <c r="ET55">
        <v>0</v>
      </c>
      <c r="EU55">
        <v>0</v>
      </c>
      <c r="EV55">
        <v>0</v>
      </c>
      <c r="EW55">
        <v>0</v>
      </c>
      <c r="EX55">
        <v>0</v>
      </c>
      <c r="FQ55">
        <v>0</v>
      </c>
      <c r="FR55">
        <f t="shared" si="54"/>
        <v>0</v>
      </c>
      <c r="FS55">
        <v>0</v>
      </c>
      <c r="FX55">
        <v>0</v>
      </c>
      <c r="FY55">
        <v>0</v>
      </c>
      <c r="GA55" t="s">
        <v>3</v>
      </c>
      <c r="GD55">
        <v>1</v>
      </c>
      <c r="GF55">
        <v>335873434</v>
      </c>
      <c r="GG55">
        <v>2</v>
      </c>
      <c r="GH55">
        <v>1</v>
      </c>
      <c r="GI55">
        <v>-2</v>
      </c>
      <c r="GJ55">
        <v>0</v>
      </c>
      <c r="GK55">
        <v>0</v>
      </c>
      <c r="GL55">
        <f t="shared" si="55"/>
        <v>0</v>
      </c>
      <c r="GM55">
        <f t="shared" si="56"/>
        <v>52.46</v>
      </c>
      <c r="GN55">
        <f t="shared" si="57"/>
        <v>0</v>
      </c>
      <c r="GO55">
        <f t="shared" si="58"/>
        <v>52.46</v>
      </c>
      <c r="GP55">
        <f t="shared" si="59"/>
        <v>0</v>
      </c>
      <c r="GR55">
        <v>0</v>
      </c>
      <c r="GS55">
        <v>3</v>
      </c>
      <c r="GT55">
        <v>0</v>
      </c>
      <c r="GU55" t="s">
        <v>3</v>
      </c>
      <c r="GV55">
        <f t="shared" si="60"/>
        <v>0</v>
      </c>
      <c r="GW55">
        <v>1</v>
      </c>
      <c r="GX55">
        <f t="shared" si="61"/>
        <v>0</v>
      </c>
      <c r="HA55">
        <v>0</v>
      </c>
      <c r="HB55">
        <v>0</v>
      </c>
      <c r="HC55">
        <f t="shared" si="62"/>
        <v>0</v>
      </c>
      <c r="HE55" t="s">
        <v>3</v>
      </c>
      <c r="HF55" t="s">
        <v>3</v>
      </c>
      <c r="IK55">
        <v>0</v>
      </c>
    </row>
    <row r="56" spans="1:245" x14ac:dyDescent="0.2">
      <c r="A56">
        <v>17</v>
      </c>
      <c r="B56">
        <v>1</v>
      </c>
      <c r="C56">
        <f>ROW(SmtRes!A72)</f>
        <v>72</v>
      </c>
      <c r="D56">
        <f>ROW(EtalonRes!A69)</f>
        <v>69</v>
      </c>
      <c r="E56" t="s">
        <v>135</v>
      </c>
      <c r="F56" t="s">
        <v>136</v>
      </c>
      <c r="G56" t="s">
        <v>137</v>
      </c>
      <c r="H56" t="s">
        <v>123</v>
      </c>
      <c r="I56">
        <v>10</v>
      </c>
      <c r="J56">
        <v>0</v>
      </c>
      <c r="O56">
        <f t="shared" si="28"/>
        <v>1040</v>
      </c>
      <c r="P56">
        <f t="shared" si="29"/>
        <v>458</v>
      </c>
      <c r="Q56">
        <f t="shared" si="30"/>
        <v>457.3</v>
      </c>
      <c r="R56">
        <f t="shared" si="31"/>
        <v>41.1</v>
      </c>
      <c r="S56">
        <f t="shared" si="32"/>
        <v>124.7</v>
      </c>
      <c r="T56">
        <f t="shared" si="33"/>
        <v>0</v>
      </c>
      <c r="U56">
        <f t="shared" si="34"/>
        <v>14.6</v>
      </c>
      <c r="V56">
        <f t="shared" si="35"/>
        <v>3.1</v>
      </c>
      <c r="W56">
        <f t="shared" si="36"/>
        <v>0</v>
      </c>
      <c r="X56">
        <f t="shared" si="37"/>
        <v>157.51</v>
      </c>
      <c r="Y56">
        <f t="shared" si="38"/>
        <v>107.77</v>
      </c>
      <c r="AA56">
        <v>52156631</v>
      </c>
      <c r="AB56">
        <f t="shared" si="39"/>
        <v>104</v>
      </c>
      <c r="AC56">
        <f t="shared" si="40"/>
        <v>45.8</v>
      </c>
      <c r="AD56">
        <f t="shared" si="70"/>
        <v>45.73</v>
      </c>
      <c r="AE56">
        <f t="shared" si="71"/>
        <v>4.1100000000000003</v>
      </c>
      <c r="AF56">
        <f t="shared" si="71"/>
        <v>12.47</v>
      </c>
      <c r="AG56">
        <f t="shared" si="41"/>
        <v>0</v>
      </c>
      <c r="AH56">
        <f t="shared" si="72"/>
        <v>1.46</v>
      </c>
      <c r="AI56">
        <f t="shared" si="72"/>
        <v>0.31</v>
      </c>
      <c r="AJ56">
        <f t="shared" si="42"/>
        <v>0</v>
      </c>
      <c r="AK56">
        <v>104</v>
      </c>
      <c r="AL56">
        <v>45.8</v>
      </c>
      <c r="AM56">
        <v>45.73</v>
      </c>
      <c r="AN56">
        <v>4.1100000000000003</v>
      </c>
      <c r="AO56">
        <v>12.47</v>
      </c>
      <c r="AP56">
        <v>0</v>
      </c>
      <c r="AQ56">
        <v>1.46</v>
      </c>
      <c r="AR56">
        <v>0.31</v>
      </c>
      <c r="AS56">
        <v>0</v>
      </c>
      <c r="AT56">
        <v>95</v>
      </c>
      <c r="AU56">
        <v>65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2</v>
      </c>
      <c r="BJ56" t="s">
        <v>138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E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3"/>
        <v>1040</v>
      </c>
      <c r="CQ56">
        <f t="shared" si="44"/>
        <v>45.8</v>
      </c>
      <c r="CR56">
        <f t="shared" si="45"/>
        <v>45.73</v>
      </c>
      <c r="CS56">
        <f t="shared" si="46"/>
        <v>4.1100000000000003</v>
      </c>
      <c r="CT56">
        <f t="shared" si="47"/>
        <v>12.47</v>
      </c>
      <c r="CU56">
        <f t="shared" si="48"/>
        <v>0</v>
      </c>
      <c r="CV56">
        <f t="shared" si="49"/>
        <v>1.46</v>
      </c>
      <c r="CW56">
        <f t="shared" si="50"/>
        <v>0.31</v>
      </c>
      <c r="CX56">
        <f t="shared" si="51"/>
        <v>0</v>
      </c>
      <c r="CY56">
        <f t="shared" si="52"/>
        <v>157.51000000000002</v>
      </c>
      <c r="CZ56">
        <f t="shared" si="53"/>
        <v>107.77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123</v>
      </c>
      <c r="DW56" t="s">
        <v>123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50663799</v>
      </c>
      <c r="EF56">
        <v>3</v>
      </c>
      <c r="EG56" t="s">
        <v>16</v>
      </c>
      <c r="EH56">
        <v>0</v>
      </c>
      <c r="EI56" t="s">
        <v>3</v>
      </c>
      <c r="EJ56">
        <v>2</v>
      </c>
      <c r="EK56">
        <v>108001</v>
      </c>
      <c r="EL56" t="s">
        <v>125</v>
      </c>
      <c r="EM56" t="s">
        <v>126</v>
      </c>
      <c r="EO56" t="s">
        <v>3</v>
      </c>
      <c r="EQ56">
        <v>0</v>
      </c>
      <c r="ER56">
        <v>104</v>
      </c>
      <c r="ES56">
        <v>45.8</v>
      </c>
      <c r="ET56">
        <v>45.73</v>
      </c>
      <c r="EU56">
        <v>4.1100000000000003</v>
      </c>
      <c r="EV56">
        <v>12.47</v>
      </c>
      <c r="EW56">
        <v>1.46</v>
      </c>
      <c r="EX56">
        <v>0.31</v>
      </c>
      <c r="EY56">
        <v>0</v>
      </c>
      <c r="FQ56">
        <v>0</v>
      </c>
      <c r="FR56">
        <f t="shared" si="54"/>
        <v>0</v>
      </c>
      <c r="FS56">
        <v>0</v>
      </c>
      <c r="FX56">
        <v>95</v>
      </c>
      <c r="FY56">
        <v>65</v>
      </c>
      <c r="GA56" t="s">
        <v>3</v>
      </c>
      <c r="GD56">
        <v>1</v>
      </c>
      <c r="GF56">
        <v>475257462</v>
      </c>
      <c r="GG56">
        <v>2</v>
      </c>
      <c r="GH56">
        <v>1</v>
      </c>
      <c r="GI56">
        <v>-2</v>
      </c>
      <c r="GJ56">
        <v>0</v>
      </c>
      <c r="GK56">
        <v>0</v>
      </c>
      <c r="GL56">
        <f t="shared" si="55"/>
        <v>0</v>
      </c>
      <c r="GM56">
        <f t="shared" si="56"/>
        <v>1305.28</v>
      </c>
      <c r="GN56">
        <f t="shared" si="57"/>
        <v>0</v>
      </c>
      <c r="GO56">
        <f t="shared" si="58"/>
        <v>1305.28</v>
      </c>
      <c r="GP56">
        <f t="shared" si="59"/>
        <v>0</v>
      </c>
      <c r="GR56">
        <v>0</v>
      </c>
      <c r="GS56">
        <v>3</v>
      </c>
      <c r="GT56">
        <v>0</v>
      </c>
      <c r="GU56" t="s">
        <v>3</v>
      </c>
      <c r="GV56">
        <f t="shared" si="60"/>
        <v>0</v>
      </c>
      <c r="GW56">
        <v>1</v>
      </c>
      <c r="GX56">
        <f t="shared" si="61"/>
        <v>0</v>
      </c>
      <c r="HA56">
        <v>0</v>
      </c>
      <c r="HB56">
        <v>0</v>
      </c>
      <c r="HC56">
        <f t="shared" si="62"/>
        <v>0</v>
      </c>
      <c r="HE56" t="s">
        <v>3</v>
      </c>
      <c r="HF56" t="s">
        <v>3</v>
      </c>
      <c r="IK56">
        <v>0</v>
      </c>
    </row>
    <row r="57" spans="1:245" x14ac:dyDescent="0.2">
      <c r="A57">
        <v>18</v>
      </c>
      <c r="B57">
        <v>1</v>
      </c>
      <c r="C57">
        <v>72</v>
      </c>
      <c r="E57" t="s">
        <v>139</v>
      </c>
      <c r="F57" t="s">
        <v>140</v>
      </c>
      <c r="G57" t="s">
        <v>141</v>
      </c>
      <c r="H57" t="s">
        <v>37</v>
      </c>
      <c r="I57">
        <f>I56*J57</f>
        <v>10</v>
      </c>
      <c r="J57">
        <v>1</v>
      </c>
      <c r="O57">
        <f t="shared" si="28"/>
        <v>9416.2000000000007</v>
      </c>
      <c r="P57">
        <f t="shared" si="29"/>
        <v>9416.2000000000007</v>
      </c>
      <c r="Q57">
        <f t="shared" si="30"/>
        <v>0</v>
      </c>
      <c r="R57">
        <f t="shared" si="31"/>
        <v>0</v>
      </c>
      <c r="S57">
        <f t="shared" si="32"/>
        <v>0</v>
      </c>
      <c r="T57">
        <f t="shared" si="33"/>
        <v>0</v>
      </c>
      <c r="U57">
        <f t="shared" si="34"/>
        <v>0</v>
      </c>
      <c r="V57">
        <f t="shared" si="35"/>
        <v>0</v>
      </c>
      <c r="W57">
        <f t="shared" si="36"/>
        <v>0</v>
      </c>
      <c r="X57">
        <f t="shared" si="37"/>
        <v>0</v>
      </c>
      <c r="Y57">
        <f t="shared" si="38"/>
        <v>0</v>
      </c>
      <c r="AA57">
        <v>52156631</v>
      </c>
      <c r="AB57">
        <f t="shared" si="39"/>
        <v>941.62</v>
      </c>
      <c r="AC57">
        <f t="shared" si="40"/>
        <v>941.62</v>
      </c>
      <c r="AD57">
        <f t="shared" si="70"/>
        <v>0</v>
      </c>
      <c r="AE57">
        <f t="shared" si="71"/>
        <v>0</v>
      </c>
      <c r="AF57">
        <f t="shared" si="71"/>
        <v>0</v>
      </c>
      <c r="AG57">
        <f t="shared" si="41"/>
        <v>0</v>
      </c>
      <c r="AH57">
        <f t="shared" si="72"/>
        <v>0</v>
      </c>
      <c r="AI57">
        <f t="shared" si="72"/>
        <v>0</v>
      </c>
      <c r="AJ57">
        <f t="shared" si="42"/>
        <v>0</v>
      </c>
      <c r="AK57">
        <v>941.62</v>
      </c>
      <c r="AL57">
        <v>941.62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105</v>
      </c>
      <c r="AU57">
        <v>51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1</v>
      </c>
      <c r="BJ57" t="s">
        <v>48</v>
      </c>
      <c r="BM57">
        <v>33001</v>
      </c>
      <c r="BN57">
        <v>0</v>
      </c>
      <c r="BO57" t="s">
        <v>3</v>
      </c>
      <c r="BP57">
        <v>0</v>
      </c>
      <c r="BQ57">
        <v>2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105</v>
      </c>
      <c r="CA57">
        <v>60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43"/>
        <v>9416.2000000000007</v>
      </c>
      <c r="CQ57">
        <f t="shared" si="44"/>
        <v>941.62</v>
      </c>
      <c r="CR57">
        <f t="shared" si="45"/>
        <v>0</v>
      </c>
      <c r="CS57">
        <f t="shared" si="46"/>
        <v>0</v>
      </c>
      <c r="CT57">
        <f t="shared" si="47"/>
        <v>0</v>
      </c>
      <c r="CU57">
        <f t="shared" si="48"/>
        <v>0</v>
      </c>
      <c r="CV57">
        <f t="shared" si="49"/>
        <v>0</v>
      </c>
      <c r="CW57">
        <f t="shared" si="50"/>
        <v>0</v>
      </c>
      <c r="CX57">
        <f t="shared" si="51"/>
        <v>0</v>
      </c>
      <c r="CY57">
        <f t="shared" si="52"/>
        <v>0</v>
      </c>
      <c r="CZ57">
        <f t="shared" si="53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1010</v>
      </c>
      <c r="DV57" t="s">
        <v>37</v>
      </c>
      <c r="DW57" t="s">
        <v>37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50663971</v>
      </c>
      <c r="EF57">
        <v>2</v>
      </c>
      <c r="EG57" t="s">
        <v>22</v>
      </c>
      <c r="EH57">
        <v>0</v>
      </c>
      <c r="EI57" t="s">
        <v>3</v>
      </c>
      <c r="EJ57">
        <v>1</v>
      </c>
      <c r="EK57">
        <v>33001</v>
      </c>
      <c r="EL57" t="s">
        <v>23</v>
      </c>
      <c r="EM57" t="s">
        <v>24</v>
      </c>
      <c r="EO57" t="s">
        <v>3</v>
      </c>
      <c r="EQ57">
        <v>0</v>
      </c>
      <c r="ER57">
        <v>941.62</v>
      </c>
      <c r="ES57">
        <v>941.62</v>
      </c>
      <c r="ET57">
        <v>0</v>
      </c>
      <c r="EU57">
        <v>0</v>
      </c>
      <c r="EV57">
        <v>0</v>
      </c>
      <c r="EW57">
        <v>0</v>
      </c>
      <c r="EX57">
        <v>0</v>
      </c>
      <c r="EZ57">
        <v>5</v>
      </c>
      <c r="FC57">
        <v>1</v>
      </c>
      <c r="FD57">
        <v>18</v>
      </c>
      <c r="FF57">
        <v>9095</v>
      </c>
      <c r="FQ57">
        <v>0</v>
      </c>
      <c r="FR57">
        <f t="shared" si="54"/>
        <v>0</v>
      </c>
      <c r="FS57">
        <v>0</v>
      </c>
      <c r="FU57" t="s">
        <v>25</v>
      </c>
      <c r="FX57">
        <v>105</v>
      </c>
      <c r="FY57">
        <v>51</v>
      </c>
      <c r="GA57" t="s">
        <v>142</v>
      </c>
      <c r="GD57">
        <v>1</v>
      </c>
      <c r="GF57">
        <v>-1064050182</v>
      </c>
      <c r="GG57">
        <v>2</v>
      </c>
      <c r="GH57">
        <v>3</v>
      </c>
      <c r="GI57">
        <v>3</v>
      </c>
      <c r="GJ57">
        <v>0</v>
      </c>
      <c r="GK57">
        <v>0</v>
      </c>
      <c r="GL57">
        <f t="shared" si="55"/>
        <v>0</v>
      </c>
      <c r="GM57">
        <f t="shared" si="56"/>
        <v>9416.2000000000007</v>
      </c>
      <c r="GN57">
        <f t="shared" si="57"/>
        <v>9416.2000000000007</v>
      </c>
      <c r="GO57">
        <f t="shared" si="58"/>
        <v>0</v>
      </c>
      <c r="GP57">
        <f t="shared" si="59"/>
        <v>0</v>
      </c>
      <c r="GR57">
        <v>1</v>
      </c>
      <c r="GS57">
        <v>1</v>
      </c>
      <c r="GT57">
        <v>0</v>
      </c>
      <c r="GU57" t="s">
        <v>3</v>
      </c>
      <c r="GV57">
        <f t="shared" si="60"/>
        <v>0</v>
      </c>
      <c r="GW57">
        <v>1</v>
      </c>
      <c r="GX57">
        <f t="shared" si="61"/>
        <v>0</v>
      </c>
      <c r="HA57">
        <v>0</v>
      </c>
      <c r="HB57">
        <v>0</v>
      </c>
      <c r="HC57">
        <f t="shared" si="62"/>
        <v>0</v>
      </c>
      <c r="HE57" t="s">
        <v>26</v>
      </c>
      <c r="HF57" t="s">
        <v>50</v>
      </c>
      <c r="IK57">
        <v>0</v>
      </c>
    </row>
    <row r="58" spans="1:245" x14ac:dyDescent="0.2">
      <c r="A58">
        <v>18</v>
      </c>
      <c r="B58">
        <v>1</v>
      </c>
      <c r="C58">
        <v>69</v>
      </c>
      <c r="E58" t="s">
        <v>143</v>
      </c>
      <c r="F58" t="s">
        <v>144</v>
      </c>
      <c r="G58" t="s">
        <v>145</v>
      </c>
      <c r="H58" t="s">
        <v>105</v>
      </c>
      <c r="I58">
        <f>I56*J58</f>
        <v>-5.0000000000000001E-3</v>
      </c>
      <c r="J58">
        <v>-5.0000000000000001E-4</v>
      </c>
      <c r="O58">
        <f t="shared" si="28"/>
        <v>-446.52</v>
      </c>
      <c r="P58">
        <f t="shared" si="29"/>
        <v>-446.52</v>
      </c>
      <c r="Q58">
        <f t="shared" si="30"/>
        <v>0</v>
      </c>
      <c r="R58">
        <f t="shared" si="31"/>
        <v>0</v>
      </c>
      <c r="S58">
        <f t="shared" si="32"/>
        <v>0</v>
      </c>
      <c r="T58">
        <f t="shared" si="33"/>
        <v>0</v>
      </c>
      <c r="U58">
        <f t="shared" si="34"/>
        <v>0</v>
      </c>
      <c r="V58">
        <f t="shared" si="35"/>
        <v>0</v>
      </c>
      <c r="W58">
        <f t="shared" si="36"/>
        <v>0</v>
      </c>
      <c r="X58">
        <f t="shared" si="37"/>
        <v>0</v>
      </c>
      <c r="Y58">
        <f t="shared" si="38"/>
        <v>0</v>
      </c>
      <c r="AA58">
        <v>52156631</v>
      </c>
      <c r="AB58">
        <f t="shared" si="39"/>
        <v>89303.44</v>
      </c>
      <c r="AC58">
        <f t="shared" si="40"/>
        <v>89303.44</v>
      </c>
      <c r="AD58">
        <f t="shared" si="70"/>
        <v>0</v>
      </c>
      <c r="AE58">
        <f t="shared" si="71"/>
        <v>0</v>
      </c>
      <c r="AF58">
        <f t="shared" si="71"/>
        <v>0</v>
      </c>
      <c r="AG58">
        <f t="shared" si="41"/>
        <v>0</v>
      </c>
      <c r="AH58">
        <f t="shared" si="72"/>
        <v>0</v>
      </c>
      <c r="AI58">
        <f t="shared" si="72"/>
        <v>0</v>
      </c>
      <c r="AJ58">
        <f t="shared" si="42"/>
        <v>0</v>
      </c>
      <c r="AK58">
        <v>89303.44</v>
      </c>
      <c r="AL58">
        <v>89303.44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2</v>
      </c>
      <c r="BJ58" t="s">
        <v>146</v>
      </c>
      <c r="BM58">
        <v>500002</v>
      </c>
      <c r="BN58">
        <v>0</v>
      </c>
      <c r="BO58" t="s">
        <v>3</v>
      </c>
      <c r="BP58">
        <v>0</v>
      </c>
      <c r="BQ58">
        <v>12</v>
      </c>
      <c r="BR58">
        <v>1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0</v>
      </c>
      <c r="CA58">
        <v>0</v>
      </c>
      <c r="CE58">
        <v>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43"/>
        <v>-446.52</v>
      </c>
      <c r="CQ58">
        <f t="shared" si="44"/>
        <v>89303.44</v>
      </c>
      <c r="CR58">
        <f t="shared" si="45"/>
        <v>0</v>
      </c>
      <c r="CS58">
        <f t="shared" si="46"/>
        <v>0</v>
      </c>
      <c r="CT58">
        <f t="shared" si="47"/>
        <v>0</v>
      </c>
      <c r="CU58">
        <f t="shared" si="48"/>
        <v>0</v>
      </c>
      <c r="CV58">
        <f t="shared" si="49"/>
        <v>0</v>
      </c>
      <c r="CW58">
        <f t="shared" si="50"/>
        <v>0</v>
      </c>
      <c r="CX58">
        <f t="shared" si="51"/>
        <v>0</v>
      </c>
      <c r="CY58">
        <f t="shared" si="52"/>
        <v>0</v>
      </c>
      <c r="CZ58">
        <f t="shared" si="53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1009</v>
      </c>
      <c r="DV58" t="s">
        <v>105</v>
      </c>
      <c r="DW58" t="s">
        <v>105</v>
      </c>
      <c r="DX58">
        <v>1000</v>
      </c>
      <c r="DZ58" t="s">
        <v>3</v>
      </c>
      <c r="EA58" t="s">
        <v>3</v>
      </c>
      <c r="EB58" t="s">
        <v>3</v>
      </c>
      <c r="EC58" t="s">
        <v>3</v>
      </c>
      <c r="EE58">
        <v>50663850</v>
      </c>
      <c r="EF58">
        <v>12</v>
      </c>
      <c r="EG58" t="s">
        <v>77</v>
      </c>
      <c r="EH58">
        <v>0</v>
      </c>
      <c r="EI58" t="s">
        <v>3</v>
      </c>
      <c r="EJ58">
        <v>2</v>
      </c>
      <c r="EK58">
        <v>500002</v>
      </c>
      <c r="EL58" t="s">
        <v>78</v>
      </c>
      <c r="EM58" t="s">
        <v>79</v>
      </c>
      <c r="EO58" t="s">
        <v>3</v>
      </c>
      <c r="EQ58">
        <v>0</v>
      </c>
      <c r="ER58">
        <v>89303.44</v>
      </c>
      <c r="ES58">
        <v>89303.44</v>
      </c>
      <c r="ET58">
        <v>0</v>
      </c>
      <c r="EU58">
        <v>0</v>
      </c>
      <c r="EV58">
        <v>0</v>
      </c>
      <c r="EW58">
        <v>0</v>
      </c>
      <c r="EX58">
        <v>0</v>
      </c>
      <c r="FQ58">
        <v>0</v>
      </c>
      <c r="FR58">
        <f t="shared" si="54"/>
        <v>0</v>
      </c>
      <c r="FS58">
        <v>0</v>
      </c>
      <c r="FX58">
        <v>0</v>
      </c>
      <c r="FY58">
        <v>0</v>
      </c>
      <c r="GA58" t="s">
        <v>3</v>
      </c>
      <c r="GD58">
        <v>1</v>
      </c>
      <c r="GF58">
        <v>-19438791</v>
      </c>
      <c r="GG58">
        <v>2</v>
      </c>
      <c r="GH58">
        <v>1</v>
      </c>
      <c r="GI58">
        <v>-2</v>
      </c>
      <c r="GJ58">
        <v>0</v>
      </c>
      <c r="GK58">
        <v>0</v>
      </c>
      <c r="GL58">
        <f t="shared" si="55"/>
        <v>0</v>
      </c>
      <c r="GM58">
        <f t="shared" si="56"/>
        <v>-446.52</v>
      </c>
      <c r="GN58">
        <f t="shared" si="57"/>
        <v>0</v>
      </c>
      <c r="GO58">
        <f t="shared" si="58"/>
        <v>-446.52</v>
      </c>
      <c r="GP58">
        <f t="shared" si="59"/>
        <v>0</v>
      </c>
      <c r="GR58">
        <v>0</v>
      </c>
      <c r="GS58">
        <v>3</v>
      </c>
      <c r="GT58">
        <v>0</v>
      </c>
      <c r="GU58" t="s">
        <v>3</v>
      </c>
      <c r="GV58">
        <f t="shared" si="60"/>
        <v>0</v>
      </c>
      <c r="GW58">
        <v>1</v>
      </c>
      <c r="GX58">
        <f t="shared" si="61"/>
        <v>0</v>
      </c>
      <c r="HA58">
        <v>0</v>
      </c>
      <c r="HB58">
        <v>0</v>
      </c>
      <c r="HC58">
        <f t="shared" si="62"/>
        <v>0</v>
      </c>
      <c r="HE58" t="s">
        <v>3</v>
      </c>
      <c r="HF58" t="s">
        <v>3</v>
      </c>
      <c r="IK58">
        <v>0</v>
      </c>
    </row>
    <row r="59" spans="1:245" x14ac:dyDescent="0.2">
      <c r="A59">
        <v>17</v>
      </c>
      <c r="B59">
        <v>1</v>
      </c>
      <c r="C59">
        <f>ROW(SmtRes!A82)</f>
        <v>82</v>
      </c>
      <c r="D59">
        <f>ROW(EtalonRes!A83)</f>
        <v>83</v>
      </c>
      <c r="E59" t="s">
        <v>147</v>
      </c>
      <c r="F59" t="s">
        <v>148</v>
      </c>
      <c r="G59" t="s">
        <v>149</v>
      </c>
      <c r="H59" t="s">
        <v>150</v>
      </c>
      <c r="I59">
        <v>0.66659999999999997</v>
      </c>
      <c r="J59">
        <v>0</v>
      </c>
      <c r="O59">
        <f t="shared" si="28"/>
        <v>108.94</v>
      </c>
      <c r="P59">
        <f t="shared" si="29"/>
        <v>1.85</v>
      </c>
      <c r="Q59">
        <f t="shared" si="30"/>
        <v>83.38</v>
      </c>
      <c r="R59">
        <f t="shared" si="31"/>
        <v>7.99</v>
      </c>
      <c r="S59">
        <f t="shared" si="32"/>
        <v>23.71</v>
      </c>
      <c r="T59">
        <f t="shared" si="33"/>
        <v>0</v>
      </c>
      <c r="U59">
        <f t="shared" si="34"/>
        <v>3.2886710999999997</v>
      </c>
      <c r="V59">
        <f t="shared" si="35"/>
        <v>0.80825249999999993</v>
      </c>
      <c r="W59">
        <f t="shared" si="36"/>
        <v>0</v>
      </c>
      <c r="X59">
        <f t="shared" si="37"/>
        <v>33.29</v>
      </c>
      <c r="Y59">
        <f t="shared" si="38"/>
        <v>16.170000000000002</v>
      </c>
      <c r="AA59">
        <v>52156631</v>
      </c>
      <c r="AB59">
        <f t="shared" si="39"/>
        <v>163.43</v>
      </c>
      <c r="AC59">
        <f t="shared" si="40"/>
        <v>2.77</v>
      </c>
      <c r="AD59">
        <f>ROUND(((((ET59*1.25))-((EU59*1.25)))+AE59),2)</f>
        <v>125.09</v>
      </c>
      <c r="AE59">
        <f>ROUND(((EU59*1.25)),2)</f>
        <v>11.98</v>
      </c>
      <c r="AF59">
        <f>ROUND(((EV59*1.15)),2)</f>
        <v>35.57</v>
      </c>
      <c r="AG59">
        <f t="shared" si="41"/>
        <v>0</v>
      </c>
      <c r="AH59">
        <f>((EW59*1.15))</f>
        <v>4.9334999999999996</v>
      </c>
      <c r="AI59">
        <f>((EX59*1.25))</f>
        <v>1.2124999999999999</v>
      </c>
      <c r="AJ59">
        <f t="shared" si="42"/>
        <v>0</v>
      </c>
      <c r="AK59">
        <v>133.77000000000001</v>
      </c>
      <c r="AL59">
        <v>2.77</v>
      </c>
      <c r="AM59">
        <v>100.07</v>
      </c>
      <c r="AN59">
        <v>9.58</v>
      </c>
      <c r="AO59">
        <v>30.93</v>
      </c>
      <c r="AP59">
        <v>0</v>
      </c>
      <c r="AQ59">
        <v>4.29</v>
      </c>
      <c r="AR59">
        <v>0.97</v>
      </c>
      <c r="AS59">
        <v>0</v>
      </c>
      <c r="AT59">
        <v>105</v>
      </c>
      <c r="AU59">
        <v>51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1</v>
      </c>
      <c r="BJ59" t="s">
        <v>151</v>
      </c>
      <c r="BM59">
        <v>33001</v>
      </c>
      <c r="BN59">
        <v>0</v>
      </c>
      <c r="BO59" t="s">
        <v>3</v>
      </c>
      <c r="BP59">
        <v>0</v>
      </c>
      <c r="BQ59">
        <v>2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105</v>
      </c>
      <c r="CA59">
        <v>60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3"/>
        <v>108.94</v>
      </c>
      <c r="CQ59">
        <f t="shared" si="44"/>
        <v>2.77</v>
      </c>
      <c r="CR59">
        <f t="shared" si="45"/>
        <v>125.09</v>
      </c>
      <c r="CS59">
        <f t="shared" si="46"/>
        <v>11.98</v>
      </c>
      <c r="CT59">
        <f t="shared" si="47"/>
        <v>35.57</v>
      </c>
      <c r="CU59">
        <f t="shared" si="48"/>
        <v>0</v>
      </c>
      <c r="CV59">
        <f t="shared" si="49"/>
        <v>4.9334999999999996</v>
      </c>
      <c r="CW59">
        <f t="shared" si="50"/>
        <v>1.2124999999999999</v>
      </c>
      <c r="CX59">
        <f t="shared" si="51"/>
        <v>0</v>
      </c>
      <c r="CY59">
        <f t="shared" si="52"/>
        <v>33.285000000000004</v>
      </c>
      <c r="CZ59">
        <f t="shared" si="53"/>
        <v>16.167000000000002</v>
      </c>
      <c r="DC59" t="s">
        <v>3</v>
      </c>
      <c r="DD59" t="s">
        <v>3</v>
      </c>
      <c r="DE59" t="s">
        <v>152</v>
      </c>
      <c r="DF59" t="s">
        <v>152</v>
      </c>
      <c r="DG59" t="s">
        <v>153</v>
      </c>
      <c r="DH59" t="s">
        <v>3</v>
      </c>
      <c r="DI59" t="s">
        <v>153</v>
      </c>
      <c r="DJ59" t="s">
        <v>152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150</v>
      </c>
      <c r="DW59" t="s">
        <v>150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50663971</v>
      </c>
      <c r="EF59">
        <v>2</v>
      </c>
      <c r="EG59" t="s">
        <v>22</v>
      </c>
      <c r="EH59">
        <v>0</v>
      </c>
      <c r="EI59" t="s">
        <v>3</v>
      </c>
      <c r="EJ59">
        <v>1</v>
      </c>
      <c r="EK59">
        <v>33001</v>
      </c>
      <c r="EL59" t="s">
        <v>23</v>
      </c>
      <c r="EM59" t="s">
        <v>24</v>
      </c>
      <c r="EO59" t="s">
        <v>3</v>
      </c>
      <c r="EQ59">
        <v>0</v>
      </c>
      <c r="ER59">
        <v>133.77000000000001</v>
      </c>
      <c r="ES59">
        <v>2.77</v>
      </c>
      <c r="ET59">
        <v>100.07</v>
      </c>
      <c r="EU59">
        <v>9.58</v>
      </c>
      <c r="EV59">
        <v>30.93</v>
      </c>
      <c r="EW59">
        <v>4.29</v>
      </c>
      <c r="EX59">
        <v>0.97</v>
      </c>
      <c r="EY59">
        <v>0</v>
      </c>
      <c r="FQ59">
        <v>0</v>
      </c>
      <c r="FR59">
        <f t="shared" si="54"/>
        <v>0</v>
      </c>
      <c r="FS59">
        <v>0</v>
      </c>
      <c r="FU59" t="s">
        <v>25</v>
      </c>
      <c r="FX59">
        <v>105</v>
      </c>
      <c r="FY59">
        <v>51</v>
      </c>
      <c r="GA59" t="s">
        <v>3</v>
      </c>
      <c r="GD59">
        <v>1</v>
      </c>
      <c r="GF59">
        <v>-640253738</v>
      </c>
      <c r="GG59">
        <v>2</v>
      </c>
      <c r="GH59">
        <v>1</v>
      </c>
      <c r="GI59">
        <v>-2</v>
      </c>
      <c r="GJ59">
        <v>0</v>
      </c>
      <c r="GK59">
        <v>0</v>
      </c>
      <c r="GL59">
        <f t="shared" si="55"/>
        <v>0</v>
      </c>
      <c r="GM59">
        <f t="shared" si="56"/>
        <v>158.4</v>
      </c>
      <c r="GN59">
        <f t="shared" si="57"/>
        <v>158.4</v>
      </c>
      <c r="GO59">
        <f t="shared" si="58"/>
        <v>0</v>
      </c>
      <c r="GP59">
        <f t="shared" si="59"/>
        <v>0</v>
      </c>
      <c r="GR59">
        <v>0</v>
      </c>
      <c r="GS59">
        <v>3</v>
      </c>
      <c r="GT59">
        <v>0</v>
      </c>
      <c r="GU59" t="s">
        <v>3</v>
      </c>
      <c r="GV59">
        <f t="shared" si="60"/>
        <v>0</v>
      </c>
      <c r="GW59">
        <v>1</v>
      </c>
      <c r="GX59">
        <f t="shared" si="61"/>
        <v>0</v>
      </c>
      <c r="HA59">
        <v>0</v>
      </c>
      <c r="HB59">
        <v>0</v>
      </c>
      <c r="HC59">
        <f t="shared" si="62"/>
        <v>0</v>
      </c>
      <c r="HE59" t="s">
        <v>3</v>
      </c>
      <c r="HF59" t="s">
        <v>3</v>
      </c>
      <c r="IK59">
        <v>0</v>
      </c>
    </row>
    <row r="60" spans="1:245" x14ac:dyDescent="0.2">
      <c r="A60">
        <v>18</v>
      </c>
      <c r="B60">
        <v>1</v>
      </c>
      <c r="C60">
        <v>82</v>
      </c>
      <c r="E60" t="s">
        <v>154</v>
      </c>
      <c r="F60" t="s">
        <v>155</v>
      </c>
      <c r="G60" t="s">
        <v>156</v>
      </c>
      <c r="H60" t="s">
        <v>37</v>
      </c>
      <c r="I60">
        <f>I59*J60</f>
        <v>2</v>
      </c>
      <c r="J60">
        <v>3.0003000300030003</v>
      </c>
      <c r="O60">
        <f t="shared" si="28"/>
        <v>102.66</v>
      </c>
      <c r="P60">
        <f t="shared" si="29"/>
        <v>102.66</v>
      </c>
      <c r="Q60">
        <f t="shared" si="30"/>
        <v>0</v>
      </c>
      <c r="R60">
        <f t="shared" si="31"/>
        <v>0</v>
      </c>
      <c r="S60">
        <f t="shared" si="32"/>
        <v>0</v>
      </c>
      <c r="T60">
        <f t="shared" si="33"/>
        <v>0</v>
      </c>
      <c r="U60">
        <f t="shared" si="34"/>
        <v>0</v>
      </c>
      <c r="V60">
        <f t="shared" si="35"/>
        <v>0</v>
      </c>
      <c r="W60">
        <f t="shared" si="36"/>
        <v>0</v>
      </c>
      <c r="X60">
        <f t="shared" si="37"/>
        <v>0</v>
      </c>
      <c r="Y60">
        <f t="shared" si="38"/>
        <v>0</v>
      </c>
      <c r="AA60">
        <v>52156631</v>
      </c>
      <c r="AB60">
        <f t="shared" si="39"/>
        <v>51.33</v>
      </c>
      <c r="AC60">
        <f t="shared" si="40"/>
        <v>51.33</v>
      </c>
      <c r="AD60">
        <f>ROUND((((ET60)-(EU60))+AE60),2)</f>
        <v>0</v>
      </c>
      <c r="AE60">
        <f>ROUND((EU60),2)</f>
        <v>0</v>
      </c>
      <c r="AF60">
        <f>ROUND((EV60),2)</f>
        <v>0</v>
      </c>
      <c r="AG60">
        <f t="shared" si="41"/>
        <v>0</v>
      </c>
      <c r="AH60">
        <f>(EW60)</f>
        <v>0</v>
      </c>
      <c r="AI60">
        <f>(EX60)</f>
        <v>0</v>
      </c>
      <c r="AJ60">
        <f t="shared" si="42"/>
        <v>0</v>
      </c>
      <c r="AK60">
        <v>51.33</v>
      </c>
      <c r="AL60">
        <v>51.33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2</v>
      </c>
      <c r="BJ60" t="s">
        <v>157</v>
      </c>
      <c r="BM60">
        <v>500002</v>
      </c>
      <c r="BN60">
        <v>0</v>
      </c>
      <c r="BO60" t="s">
        <v>3</v>
      </c>
      <c r="BP60">
        <v>0</v>
      </c>
      <c r="BQ60">
        <v>12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0</v>
      </c>
      <c r="CA60">
        <v>0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43"/>
        <v>102.66</v>
      </c>
      <c r="CQ60">
        <f t="shared" si="44"/>
        <v>51.33</v>
      </c>
      <c r="CR60">
        <f t="shared" si="45"/>
        <v>0</v>
      </c>
      <c r="CS60">
        <f t="shared" si="46"/>
        <v>0</v>
      </c>
      <c r="CT60">
        <f t="shared" si="47"/>
        <v>0</v>
      </c>
      <c r="CU60">
        <f t="shared" si="48"/>
        <v>0</v>
      </c>
      <c r="CV60">
        <f t="shared" si="49"/>
        <v>0</v>
      </c>
      <c r="CW60">
        <f t="shared" si="50"/>
        <v>0</v>
      </c>
      <c r="CX60">
        <f t="shared" si="51"/>
        <v>0</v>
      </c>
      <c r="CY60">
        <f t="shared" si="52"/>
        <v>0</v>
      </c>
      <c r="CZ60">
        <f t="shared" si="53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1010</v>
      </c>
      <c r="DV60" t="s">
        <v>37</v>
      </c>
      <c r="DW60" t="s">
        <v>37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50663850</v>
      </c>
      <c r="EF60">
        <v>12</v>
      </c>
      <c r="EG60" t="s">
        <v>77</v>
      </c>
      <c r="EH60">
        <v>0</v>
      </c>
      <c r="EI60" t="s">
        <v>3</v>
      </c>
      <c r="EJ60">
        <v>2</v>
      </c>
      <c r="EK60">
        <v>500002</v>
      </c>
      <c r="EL60" t="s">
        <v>78</v>
      </c>
      <c r="EM60" t="s">
        <v>79</v>
      </c>
      <c r="EO60" t="s">
        <v>3</v>
      </c>
      <c r="EQ60">
        <v>0</v>
      </c>
      <c r="ER60">
        <v>51.33</v>
      </c>
      <c r="ES60">
        <v>51.33</v>
      </c>
      <c r="ET60">
        <v>0</v>
      </c>
      <c r="EU60">
        <v>0</v>
      </c>
      <c r="EV60">
        <v>0</v>
      </c>
      <c r="EW60">
        <v>0</v>
      </c>
      <c r="EX60">
        <v>0</v>
      </c>
      <c r="FQ60">
        <v>0</v>
      </c>
      <c r="FR60">
        <f t="shared" si="54"/>
        <v>0</v>
      </c>
      <c r="FS60">
        <v>0</v>
      </c>
      <c r="FX60">
        <v>0</v>
      </c>
      <c r="FY60">
        <v>0</v>
      </c>
      <c r="GA60" t="s">
        <v>3</v>
      </c>
      <c r="GD60">
        <v>1</v>
      </c>
      <c r="GF60">
        <v>371868375</v>
      </c>
      <c r="GG60">
        <v>2</v>
      </c>
      <c r="GH60">
        <v>1</v>
      </c>
      <c r="GI60">
        <v>-2</v>
      </c>
      <c r="GJ60">
        <v>0</v>
      </c>
      <c r="GK60">
        <v>0</v>
      </c>
      <c r="GL60">
        <f t="shared" si="55"/>
        <v>0</v>
      </c>
      <c r="GM60">
        <f t="shared" si="56"/>
        <v>102.66</v>
      </c>
      <c r="GN60">
        <f t="shared" si="57"/>
        <v>0</v>
      </c>
      <c r="GO60">
        <f t="shared" si="58"/>
        <v>102.66</v>
      </c>
      <c r="GP60">
        <f t="shared" si="59"/>
        <v>0</v>
      </c>
      <c r="GR60">
        <v>0</v>
      </c>
      <c r="GS60">
        <v>3</v>
      </c>
      <c r="GT60">
        <v>0</v>
      </c>
      <c r="GU60" t="s">
        <v>3</v>
      </c>
      <c r="GV60">
        <f t="shared" si="60"/>
        <v>0</v>
      </c>
      <c r="GW60">
        <v>1</v>
      </c>
      <c r="GX60">
        <f t="shared" si="61"/>
        <v>0</v>
      </c>
      <c r="HA60">
        <v>0</v>
      </c>
      <c r="HB60">
        <v>0</v>
      </c>
      <c r="HC60">
        <f t="shared" si="62"/>
        <v>0</v>
      </c>
      <c r="HE60" t="s">
        <v>3</v>
      </c>
      <c r="HF60" t="s">
        <v>3</v>
      </c>
      <c r="IK60">
        <v>0</v>
      </c>
    </row>
    <row r="62" spans="1:245" x14ac:dyDescent="0.2">
      <c r="A62" s="2">
        <v>51</v>
      </c>
      <c r="B62" s="2">
        <f>B28</f>
        <v>1</v>
      </c>
      <c r="C62" s="2">
        <f>A28</f>
        <v>5</v>
      </c>
      <c r="D62" s="2">
        <f>ROW(A28)</f>
        <v>28</v>
      </c>
      <c r="E62" s="2"/>
      <c r="F62" s="2" t="str">
        <f>IF(F28&lt;&gt;"",F28,"")</f>
        <v>Новый подраздел</v>
      </c>
      <c r="G62" s="2" t="str">
        <f>IF(G28&lt;&gt;"",G28,"")</f>
        <v>Монтажные работы</v>
      </c>
      <c r="H62" s="2">
        <v>0</v>
      </c>
      <c r="I62" s="2"/>
      <c r="J62" s="2"/>
      <c r="K62" s="2"/>
      <c r="L62" s="2"/>
      <c r="M62" s="2"/>
      <c r="N62" s="2"/>
      <c r="O62" s="2">
        <f t="shared" ref="O62:T62" si="73">ROUND(AB62,2)</f>
        <v>27977.34</v>
      </c>
      <c r="P62" s="2">
        <f t="shared" si="73"/>
        <v>24236.6</v>
      </c>
      <c r="Q62" s="2">
        <f t="shared" si="73"/>
        <v>3125.16</v>
      </c>
      <c r="R62" s="2">
        <f t="shared" si="73"/>
        <v>297.93</v>
      </c>
      <c r="S62" s="2">
        <f t="shared" si="73"/>
        <v>615.58000000000004</v>
      </c>
      <c r="T62" s="2">
        <f t="shared" si="73"/>
        <v>0</v>
      </c>
      <c r="U62" s="2">
        <f>AH62</f>
        <v>80.954265100000001</v>
      </c>
      <c r="V62" s="2">
        <f>AI62</f>
        <v>24.538777499999998</v>
      </c>
      <c r="W62" s="2">
        <f>ROUND(AJ62,2)</f>
        <v>0</v>
      </c>
      <c r="X62" s="2">
        <f>ROUND(AK62,2)</f>
        <v>919.75</v>
      </c>
      <c r="Y62" s="2">
        <f>ROUND(AL62,2)</f>
        <v>521.14</v>
      </c>
      <c r="Z62" s="2"/>
      <c r="AA62" s="2"/>
      <c r="AB62" s="2">
        <f>ROUND(SUMIF(AA32:AA60,"=52156631",O32:O60),2)</f>
        <v>27977.34</v>
      </c>
      <c r="AC62" s="2">
        <f>ROUND(SUMIF(AA32:AA60,"=52156631",P32:P60),2)</f>
        <v>24236.6</v>
      </c>
      <c r="AD62" s="2">
        <f>ROUND(SUMIF(AA32:AA60,"=52156631",Q32:Q60),2)</f>
        <v>3125.16</v>
      </c>
      <c r="AE62" s="2">
        <f>ROUND(SUMIF(AA32:AA60,"=52156631",R32:R60),2)</f>
        <v>297.93</v>
      </c>
      <c r="AF62" s="2">
        <f>ROUND(SUMIF(AA32:AA60,"=52156631",S32:S60),2)</f>
        <v>615.58000000000004</v>
      </c>
      <c r="AG62" s="2">
        <f>ROUND(SUMIF(AA32:AA60,"=52156631",T32:T60),2)</f>
        <v>0</v>
      </c>
      <c r="AH62" s="2">
        <f>SUMIF(AA32:AA60,"=52156631",U32:U60)</f>
        <v>80.954265100000001</v>
      </c>
      <c r="AI62" s="2">
        <f>SUMIF(AA32:AA60,"=52156631",V32:V60)</f>
        <v>24.538777499999998</v>
      </c>
      <c r="AJ62" s="2">
        <f>ROUND(SUMIF(AA32:AA60,"=52156631",W32:W60),2)</f>
        <v>0</v>
      </c>
      <c r="AK62" s="2">
        <f>ROUND(SUMIF(AA32:AA60,"=52156631",X32:X60),2)</f>
        <v>919.75</v>
      </c>
      <c r="AL62" s="2">
        <f>ROUND(SUMIF(AA32:AA60,"=52156631",Y32:Y60),2)</f>
        <v>521.14</v>
      </c>
      <c r="AM62" s="2"/>
      <c r="AN62" s="2"/>
      <c r="AO62" s="2">
        <f t="shared" ref="AO62:BD62" si="74">ROUND(BX62,2)</f>
        <v>0</v>
      </c>
      <c r="AP62" s="2">
        <f t="shared" si="74"/>
        <v>0</v>
      </c>
      <c r="AQ62" s="2">
        <f t="shared" si="74"/>
        <v>0</v>
      </c>
      <c r="AR62" s="2">
        <f t="shared" si="74"/>
        <v>29418.23</v>
      </c>
      <c r="AS62" s="2">
        <f t="shared" si="74"/>
        <v>26813.77</v>
      </c>
      <c r="AT62" s="2">
        <f t="shared" si="74"/>
        <v>2604.46</v>
      </c>
      <c r="AU62" s="2">
        <f t="shared" si="74"/>
        <v>0</v>
      </c>
      <c r="AV62" s="2">
        <f t="shared" si="74"/>
        <v>24236.6</v>
      </c>
      <c r="AW62" s="2">
        <f t="shared" si="74"/>
        <v>24236.6</v>
      </c>
      <c r="AX62" s="2">
        <f t="shared" si="74"/>
        <v>0</v>
      </c>
      <c r="AY62" s="2">
        <f t="shared" si="74"/>
        <v>24236.6</v>
      </c>
      <c r="AZ62" s="2">
        <f t="shared" si="74"/>
        <v>0</v>
      </c>
      <c r="BA62" s="2">
        <f t="shared" si="74"/>
        <v>0</v>
      </c>
      <c r="BB62" s="2">
        <f t="shared" si="74"/>
        <v>0</v>
      </c>
      <c r="BC62" s="2">
        <f t="shared" si="74"/>
        <v>0</v>
      </c>
      <c r="BD62" s="2">
        <f t="shared" si="74"/>
        <v>0</v>
      </c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>
        <f>ROUND(SUMIF(AA32:AA60,"=52156631",FQ32:FQ60),2)</f>
        <v>0</v>
      </c>
      <c r="BY62" s="2">
        <f>ROUND(SUMIF(AA32:AA60,"=52156631",FR32:FR60),2)</f>
        <v>0</v>
      </c>
      <c r="BZ62" s="2">
        <f>ROUND(SUMIF(AA32:AA60,"=52156631",GL32:GL60),2)</f>
        <v>0</v>
      </c>
      <c r="CA62" s="2">
        <f>ROUND(SUMIF(AA32:AA60,"=52156631",GM32:GM60),2)</f>
        <v>29418.23</v>
      </c>
      <c r="CB62" s="2">
        <f>ROUND(SUMIF(AA32:AA60,"=52156631",GN32:GN60),2)</f>
        <v>26813.77</v>
      </c>
      <c r="CC62" s="2">
        <f>ROUND(SUMIF(AA32:AA60,"=52156631",GO32:GO60),2)</f>
        <v>2604.46</v>
      </c>
      <c r="CD62" s="2">
        <f>ROUND(SUMIF(AA32:AA60,"=52156631",GP32:GP60),2)</f>
        <v>0</v>
      </c>
      <c r="CE62" s="2">
        <f>AC62-BX62</f>
        <v>24236.6</v>
      </c>
      <c r="CF62" s="2">
        <f>AC62-BY62</f>
        <v>24236.6</v>
      </c>
      <c r="CG62" s="2">
        <f>BX62-BZ62</f>
        <v>0</v>
      </c>
      <c r="CH62" s="2">
        <f>AC62-BX62-BY62+BZ62</f>
        <v>24236.6</v>
      </c>
      <c r="CI62" s="2">
        <f>BY62-BZ62</f>
        <v>0</v>
      </c>
      <c r="CJ62" s="2">
        <f>ROUND(SUMIF(AA32:AA60,"=52156631",GX32:GX60),2)</f>
        <v>0</v>
      </c>
      <c r="CK62" s="2">
        <f>ROUND(SUMIF(AA32:AA60,"=52156631",GY32:GY60),2)</f>
        <v>0</v>
      </c>
      <c r="CL62" s="2">
        <f>ROUND(SUMIF(AA32:AA60,"=52156631",GZ32:GZ60),2)</f>
        <v>0</v>
      </c>
      <c r="CM62" s="2">
        <f>ROUND(SUMIF(AA32:AA60,"=52156631",HD32:HD60),2)</f>
        <v>0</v>
      </c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>
        <v>0</v>
      </c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201</v>
      </c>
      <c r="F64" s="4">
        <f>ROUND(Source!O62,O64)</f>
        <v>27977.34</v>
      </c>
      <c r="G64" s="4" t="s">
        <v>158</v>
      </c>
      <c r="H64" s="4" t="s">
        <v>159</v>
      </c>
      <c r="I64" s="4"/>
      <c r="J64" s="4"/>
      <c r="K64" s="4">
        <v>201</v>
      </c>
      <c r="L64" s="4">
        <v>1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1</v>
      </c>
      <c r="E65" s="4">
        <v>202</v>
      </c>
      <c r="F65" s="4">
        <f>ROUND(Source!P62,O65)</f>
        <v>24236.6</v>
      </c>
      <c r="G65" s="4" t="s">
        <v>160</v>
      </c>
      <c r="H65" s="4" t="s">
        <v>161</v>
      </c>
      <c r="I65" s="4"/>
      <c r="J65" s="4"/>
      <c r="K65" s="4">
        <v>202</v>
      </c>
      <c r="L65" s="4">
        <v>2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222</v>
      </c>
      <c r="F66" s="4">
        <f>ROUND(Source!AO62,O66)</f>
        <v>0</v>
      </c>
      <c r="G66" s="4" t="s">
        <v>162</v>
      </c>
      <c r="H66" s="4" t="s">
        <v>163</v>
      </c>
      <c r="I66" s="4"/>
      <c r="J66" s="4"/>
      <c r="K66" s="4">
        <v>222</v>
      </c>
      <c r="L66" s="4">
        <v>3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225</v>
      </c>
      <c r="F67" s="4">
        <f>ROUND(Source!AV62,O67)</f>
        <v>24236.6</v>
      </c>
      <c r="G67" s="4" t="s">
        <v>164</v>
      </c>
      <c r="H67" s="4" t="s">
        <v>165</v>
      </c>
      <c r="I67" s="4"/>
      <c r="J67" s="4"/>
      <c r="K67" s="4">
        <v>225</v>
      </c>
      <c r="L67" s="4">
        <v>4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226</v>
      </c>
      <c r="F68" s="4">
        <f>ROUND(Source!AW62,O68)</f>
        <v>24236.6</v>
      </c>
      <c r="G68" s="4" t="s">
        <v>166</v>
      </c>
      <c r="H68" s="4" t="s">
        <v>167</v>
      </c>
      <c r="I68" s="4"/>
      <c r="J68" s="4"/>
      <c r="K68" s="4">
        <v>226</v>
      </c>
      <c r="L68" s="4">
        <v>5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227</v>
      </c>
      <c r="F69" s="4">
        <f>ROUND(Source!AX62,O69)</f>
        <v>0</v>
      </c>
      <c r="G69" s="4" t="s">
        <v>168</v>
      </c>
      <c r="H69" s="4" t="s">
        <v>169</v>
      </c>
      <c r="I69" s="4"/>
      <c r="J69" s="4"/>
      <c r="K69" s="4">
        <v>227</v>
      </c>
      <c r="L69" s="4">
        <v>6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228</v>
      </c>
      <c r="F70" s="4">
        <f>ROUND(Source!AY62,O70)</f>
        <v>24236.6</v>
      </c>
      <c r="G70" s="4" t="s">
        <v>170</v>
      </c>
      <c r="H70" s="4" t="s">
        <v>171</v>
      </c>
      <c r="I70" s="4"/>
      <c r="J70" s="4"/>
      <c r="K70" s="4">
        <v>228</v>
      </c>
      <c r="L70" s="4">
        <v>7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216</v>
      </c>
      <c r="F71" s="4">
        <f>ROUND(Source!AP62,O71)</f>
        <v>0</v>
      </c>
      <c r="G71" s="4" t="s">
        <v>172</v>
      </c>
      <c r="H71" s="4" t="s">
        <v>173</v>
      </c>
      <c r="I71" s="4"/>
      <c r="J71" s="4"/>
      <c r="K71" s="4">
        <v>216</v>
      </c>
      <c r="L71" s="4">
        <v>8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223</v>
      </c>
      <c r="F72" s="4">
        <f>ROUND(Source!AQ62,O72)</f>
        <v>0</v>
      </c>
      <c r="G72" s="4" t="s">
        <v>174</v>
      </c>
      <c r="H72" s="4" t="s">
        <v>175</v>
      </c>
      <c r="I72" s="4"/>
      <c r="J72" s="4"/>
      <c r="K72" s="4">
        <v>223</v>
      </c>
      <c r="L72" s="4">
        <v>9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1</v>
      </c>
      <c r="E73" s="4">
        <v>229</v>
      </c>
      <c r="F73" s="4">
        <f>ROUND(Source!AZ62,O73)</f>
        <v>0</v>
      </c>
      <c r="G73" s="4" t="s">
        <v>176</v>
      </c>
      <c r="H73" s="4" t="s">
        <v>177</v>
      </c>
      <c r="I73" s="4"/>
      <c r="J73" s="4"/>
      <c r="K73" s="4">
        <v>229</v>
      </c>
      <c r="L73" s="4">
        <v>10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1</v>
      </c>
      <c r="E74" s="4">
        <v>203</v>
      </c>
      <c r="F74" s="4">
        <f>ROUND(Source!Q62,O74)</f>
        <v>3125.16</v>
      </c>
      <c r="G74" s="4" t="s">
        <v>178</v>
      </c>
      <c r="H74" s="4" t="s">
        <v>179</v>
      </c>
      <c r="I74" s="4"/>
      <c r="J74" s="4"/>
      <c r="K74" s="4">
        <v>203</v>
      </c>
      <c r="L74" s="4">
        <v>11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1</v>
      </c>
      <c r="E75" s="4">
        <v>231</v>
      </c>
      <c r="F75" s="4">
        <f>ROUND(Source!BB62,O75)</f>
        <v>0</v>
      </c>
      <c r="G75" s="4" t="s">
        <v>180</v>
      </c>
      <c r="H75" s="4" t="s">
        <v>181</v>
      </c>
      <c r="I75" s="4"/>
      <c r="J75" s="4"/>
      <c r="K75" s="4">
        <v>231</v>
      </c>
      <c r="L75" s="4">
        <v>12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1</v>
      </c>
      <c r="E76" s="4">
        <v>204</v>
      </c>
      <c r="F76" s="4">
        <f>ROUND(Source!R62,O76)</f>
        <v>297.93</v>
      </c>
      <c r="G76" s="4" t="s">
        <v>182</v>
      </c>
      <c r="H76" s="4" t="s">
        <v>183</v>
      </c>
      <c r="I76" s="4"/>
      <c r="J76" s="4"/>
      <c r="K76" s="4">
        <v>204</v>
      </c>
      <c r="L76" s="4">
        <v>13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1</v>
      </c>
      <c r="E77" s="4">
        <v>205</v>
      </c>
      <c r="F77" s="4">
        <f>ROUND(Source!S62,O77)</f>
        <v>615.58000000000004</v>
      </c>
      <c r="G77" s="4" t="s">
        <v>184</v>
      </c>
      <c r="H77" s="4" t="s">
        <v>185</v>
      </c>
      <c r="I77" s="4"/>
      <c r="J77" s="4"/>
      <c r="K77" s="4">
        <v>205</v>
      </c>
      <c r="L77" s="4">
        <v>14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1</v>
      </c>
      <c r="E78" s="4">
        <v>232</v>
      </c>
      <c r="F78" s="4">
        <f>ROUND(Source!BC62,O78)</f>
        <v>0</v>
      </c>
      <c r="G78" s="4" t="s">
        <v>186</v>
      </c>
      <c r="H78" s="4" t="s">
        <v>187</v>
      </c>
      <c r="I78" s="4"/>
      <c r="J78" s="4"/>
      <c r="K78" s="4">
        <v>232</v>
      </c>
      <c r="L78" s="4">
        <v>15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1</v>
      </c>
      <c r="E79" s="4">
        <v>214</v>
      </c>
      <c r="F79" s="4">
        <f>ROUND(Source!AS62,O79)</f>
        <v>26813.77</v>
      </c>
      <c r="G79" s="4" t="s">
        <v>188</v>
      </c>
      <c r="H79" s="4" t="s">
        <v>189</v>
      </c>
      <c r="I79" s="4"/>
      <c r="J79" s="4"/>
      <c r="K79" s="4">
        <v>214</v>
      </c>
      <c r="L79" s="4">
        <v>16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>
        <v>50</v>
      </c>
      <c r="B80" s="4">
        <v>0</v>
      </c>
      <c r="C80" s="4">
        <v>0</v>
      </c>
      <c r="D80" s="4">
        <v>1</v>
      </c>
      <c r="E80" s="4">
        <v>215</v>
      </c>
      <c r="F80" s="4">
        <f>ROUND(Source!AT62,O80)</f>
        <v>2604.46</v>
      </c>
      <c r="G80" s="4" t="s">
        <v>190</v>
      </c>
      <c r="H80" s="4" t="s">
        <v>191</v>
      </c>
      <c r="I80" s="4"/>
      <c r="J80" s="4"/>
      <c r="K80" s="4">
        <v>215</v>
      </c>
      <c r="L80" s="4">
        <v>17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217</v>
      </c>
      <c r="F81" s="4">
        <f>ROUND(Source!AU62,O81)</f>
        <v>0</v>
      </c>
      <c r="G81" s="4" t="s">
        <v>192</v>
      </c>
      <c r="H81" s="4" t="s">
        <v>193</v>
      </c>
      <c r="I81" s="4"/>
      <c r="J81" s="4"/>
      <c r="K81" s="4">
        <v>217</v>
      </c>
      <c r="L81" s="4">
        <v>18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230</v>
      </c>
      <c r="F82" s="4">
        <f>ROUND(Source!BA62,O82)</f>
        <v>0</v>
      </c>
      <c r="G82" s="4" t="s">
        <v>194</v>
      </c>
      <c r="H82" s="4" t="s">
        <v>195</v>
      </c>
      <c r="I82" s="4"/>
      <c r="J82" s="4"/>
      <c r="K82" s="4">
        <v>230</v>
      </c>
      <c r="L82" s="4">
        <v>19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206</v>
      </c>
      <c r="F83" s="4">
        <f>ROUND(Source!T62,O83)</f>
        <v>0</v>
      </c>
      <c r="G83" s="4" t="s">
        <v>196</v>
      </c>
      <c r="H83" s="4" t="s">
        <v>197</v>
      </c>
      <c r="I83" s="4"/>
      <c r="J83" s="4"/>
      <c r="K83" s="4">
        <v>206</v>
      </c>
      <c r="L83" s="4">
        <v>20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207</v>
      </c>
      <c r="F84" s="4">
        <f>Source!U62</f>
        <v>80.954265100000001</v>
      </c>
      <c r="G84" s="4" t="s">
        <v>198</v>
      </c>
      <c r="H84" s="4" t="s">
        <v>199</v>
      </c>
      <c r="I84" s="4"/>
      <c r="J84" s="4"/>
      <c r="K84" s="4">
        <v>207</v>
      </c>
      <c r="L84" s="4">
        <v>21</v>
      </c>
      <c r="M84" s="4">
        <v>3</v>
      </c>
      <c r="N84" s="4" t="s">
        <v>3</v>
      </c>
      <c r="O84" s="4">
        <v>-1</v>
      </c>
      <c r="P84" s="4"/>
      <c r="Q84" s="4"/>
      <c r="R84" s="4"/>
      <c r="S84" s="4"/>
      <c r="T84" s="4"/>
      <c r="U84" s="4"/>
      <c r="V84" s="4"/>
      <c r="W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208</v>
      </c>
      <c r="F85" s="4">
        <f>Source!V62</f>
        <v>24.538777499999998</v>
      </c>
      <c r="G85" s="4" t="s">
        <v>200</v>
      </c>
      <c r="H85" s="4" t="s">
        <v>201</v>
      </c>
      <c r="I85" s="4"/>
      <c r="J85" s="4"/>
      <c r="K85" s="4">
        <v>208</v>
      </c>
      <c r="L85" s="4">
        <v>22</v>
      </c>
      <c r="M85" s="4">
        <v>3</v>
      </c>
      <c r="N85" s="4" t="s">
        <v>3</v>
      </c>
      <c r="O85" s="4">
        <v>-1</v>
      </c>
      <c r="P85" s="4"/>
      <c r="Q85" s="4"/>
      <c r="R85" s="4"/>
      <c r="S85" s="4"/>
      <c r="T85" s="4"/>
      <c r="U85" s="4"/>
      <c r="V85" s="4"/>
      <c r="W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209</v>
      </c>
      <c r="F86" s="4">
        <f>ROUND(Source!W62,O86)</f>
        <v>0</v>
      </c>
      <c r="G86" s="4" t="s">
        <v>202</v>
      </c>
      <c r="H86" s="4" t="s">
        <v>203</v>
      </c>
      <c r="I86" s="4"/>
      <c r="J86" s="4"/>
      <c r="K86" s="4">
        <v>209</v>
      </c>
      <c r="L86" s="4">
        <v>23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233</v>
      </c>
      <c r="F87" s="4">
        <f>ROUND(Source!BD62,O87)</f>
        <v>0</v>
      </c>
      <c r="G87" s="4" t="s">
        <v>204</v>
      </c>
      <c r="H87" s="4" t="s">
        <v>205</v>
      </c>
      <c r="I87" s="4"/>
      <c r="J87" s="4"/>
      <c r="K87" s="4">
        <v>233</v>
      </c>
      <c r="L87" s="4">
        <v>24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210</v>
      </c>
      <c r="F88" s="4">
        <f>ROUND(Source!X62,O88)</f>
        <v>919.75</v>
      </c>
      <c r="G88" s="4" t="s">
        <v>206</v>
      </c>
      <c r="H88" s="4" t="s">
        <v>207</v>
      </c>
      <c r="I88" s="4"/>
      <c r="J88" s="4"/>
      <c r="K88" s="4">
        <v>210</v>
      </c>
      <c r="L88" s="4">
        <v>25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211</v>
      </c>
      <c r="F89" s="4">
        <f>ROUND(Source!Y62,O89)</f>
        <v>521.14</v>
      </c>
      <c r="G89" s="4" t="s">
        <v>208</v>
      </c>
      <c r="H89" s="4" t="s">
        <v>209</v>
      </c>
      <c r="I89" s="4"/>
      <c r="J89" s="4"/>
      <c r="K89" s="4">
        <v>211</v>
      </c>
      <c r="L89" s="4">
        <v>26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224</v>
      </c>
      <c r="F90" s="4">
        <f>ROUND(Source!AR62,O90)</f>
        <v>29418.23</v>
      </c>
      <c r="G90" s="4" t="s">
        <v>210</v>
      </c>
      <c r="H90" s="4" t="s">
        <v>211</v>
      </c>
      <c r="I90" s="4"/>
      <c r="J90" s="4"/>
      <c r="K90" s="4">
        <v>224</v>
      </c>
      <c r="L90" s="4">
        <v>27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2" spans="1:206" x14ac:dyDescent="0.2">
      <c r="A92" s="2">
        <v>51</v>
      </c>
      <c r="B92" s="2">
        <f>B24</f>
        <v>1</v>
      </c>
      <c r="C92" s="2">
        <f>A24</f>
        <v>4</v>
      </c>
      <c r="D92" s="2">
        <f>ROW(A24)</f>
        <v>24</v>
      </c>
      <c r="E92" s="2"/>
      <c r="F92" s="2" t="str">
        <f>IF(F24&lt;&gt;"",F24,"")</f>
        <v>Новый раздел</v>
      </c>
      <c r="G92" s="2" t="str">
        <f>IF(G24&lt;&gt;"",G24,"")</f>
        <v>2. Прокладка сети уличного освещения</v>
      </c>
      <c r="H92" s="2">
        <v>0</v>
      </c>
      <c r="I92" s="2"/>
      <c r="J92" s="2"/>
      <c r="K92" s="2"/>
      <c r="L92" s="2"/>
      <c r="M92" s="2"/>
      <c r="N92" s="2"/>
      <c r="O92" s="2">
        <f t="shared" ref="O92:T92" si="75">ROUND(O62+AB92,2)</f>
        <v>27977.34</v>
      </c>
      <c r="P92" s="2">
        <f t="shared" si="75"/>
        <v>24236.6</v>
      </c>
      <c r="Q92" s="2">
        <f t="shared" si="75"/>
        <v>3125.16</v>
      </c>
      <c r="R92" s="2">
        <f t="shared" si="75"/>
        <v>297.93</v>
      </c>
      <c r="S92" s="2">
        <f t="shared" si="75"/>
        <v>615.58000000000004</v>
      </c>
      <c r="T92" s="2">
        <f t="shared" si="75"/>
        <v>0</v>
      </c>
      <c r="U92" s="2">
        <f>U62+AH92</f>
        <v>80.954265100000001</v>
      </c>
      <c r="V92" s="2">
        <f>V62+AI92</f>
        <v>24.538777499999998</v>
      </c>
      <c r="W92" s="2">
        <f>ROUND(W62+AJ92,2)</f>
        <v>0</v>
      </c>
      <c r="X92" s="2">
        <f>ROUND(X62+AK92,2)</f>
        <v>919.75</v>
      </c>
      <c r="Y92" s="2">
        <f>ROUND(Y62+AL92,2)</f>
        <v>521.14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>
        <f t="shared" ref="AO92:BD92" si="76">ROUND(AO62+BX92,2)</f>
        <v>0</v>
      </c>
      <c r="AP92" s="2">
        <f t="shared" si="76"/>
        <v>0</v>
      </c>
      <c r="AQ92" s="2">
        <f t="shared" si="76"/>
        <v>0</v>
      </c>
      <c r="AR92" s="2">
        <f t="shared" si="76"/>
        <v>29418.23</v>
      </c>
      <c r="AS92" s="2">
        <f t="shared" si="76"/>
        <v>26813.77</v>
      </c>
      <c r="AT92" s="2">
        <f t="shared" si="76"/>
        <v>2604.46</v>
      </c>
      <c r="AU92" s="2">
        <f t="shared" si="76"/>
        <v>0</v>
      </c>
      <c r="AV92" s="2">
        <f t="shared" si="76"/>
        <v>24236.6</v>
      </c>
      <c r="AW92" s="2">
        <f t="shared" si="76"/>
        <v>24236.6</v>
      </c>
      <c r="AX92" s="2">
        <f t="shared" si="76"/>
        <v>0</v>
      </c>
      <c r="AY92" s="2">
        <f t="shared" si="76"/>
        <v>24236.6</v>
      </c>
      <c r="AZ92" s="2">
        <f t="shared" si="76"/>
        <v>0</v>
      </c>
      <c r="BA92" s="2">
        <f t="shared" si="76"/>
        <v>0</v>
      </c>
      <c r="BB92" s="2">
        <f t="shared" si="76"/>
        <v>0</v>
      </c>
      <c r="BC92" s="2">
        <f t="shared" si="76"/>
        <v>0</v>
      </c>
      <c r="BD92" s="2">
        <f t="shared" si="76"/>
        <v>0</v>
      </c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>
        <v>0</v>
      </c>
    </row>
    <row r="94" spans="1:206" x14ac:dyDescent="0.2">
      <c r="A94" s="4">
        <v>50</v>
      </c>
      <c r="B94" s="4">
        <v>0</v>
      </c>
      <c r="C94" s="4">
        <v>0</v>
      </c>
      <c r="D94" s="4">
        <v>1</v>
      </c>
      <c r="E94" s="4">
        <v>201</v>
      </c>
      <c r="F94" s="4">
        <f>ROUND(Source!O92,O94)</f>
        <v>27977.34</v>
      </c>
      <c r="G94" s="4" t="s">
        <v>158</v>
      </c>
      <c r="H94" s="4" t="s">
        <v>159</v>
      </c>
      <c r="I94" s="4"/>
      <c r="J94" s="4"/>
      <c r="K94" s="4">
        <v>201</v>
      </c>
      <c r="L94" s="4">
        <v>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202</v>
      </c>
      <c r="F95" s="4">
        <f>ROUND(Source!P92,O95)</f>
        <v>24236.6</v>
      </c>
      <c r="G95" s="4" t="s">
        <v>160</v>
      </c>
      <c r="H95" s="4" t="s">
        <v>161</v>
      </c>
      <c r="I95" s="4"/>
      <c r="J95" s="4"/>
      <c r="K95" s="4">
        <v>202</v>
      </c>
      <c r="L95" s="4">
        <v>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222</v>
      </c>
      <c r="F96" s="4">
        <f>ROUND(Source!AO92,O96)</f>
        <v>0</v>
      </c>
      <c r="G96" s="4" t="s">
        <v>162</v>
      </c>
      <c r="H96" s="4" t="s">
        <v>163</v>
      </c>
      <c r="I96" s="4"/>
      <c r="J96" s="4"/>
      <c r="K96" s="4">
        <v>222</v>
      </c>
      <c r="L96" s="4">
        <v>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225</v>
      </c>
      <c r="F97" s="4">
        <f>ROUND(Source!AV92,O97)</f>
        <v>24236.6</v>
      </c>
      <c r="G97" s="4" t="s">
        <v>164</v>
      </c>
      <c r="H97" s="4" t="s">
        <v>165</v>
      </c>
      <c r="I97" s="4"/>
      <c r="J97" s="4"/>
      <c r="K97" s="4">
        <v>225</v>
      </c>
      <c r="L97" s="4">
        <v>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226</v>
      </c>
      <c r="F98" s="4">
        <f>ROUND(Source!AW92,O98)</f>
        <v>24236.6</v>
      </c>
      <c r="G98" s="4" t="s">
        <v>166</v>
      </c>
      <c r="H98" s="4" t="s">
        <v>167</v>
      </c>
      <c r="I98" s="4"/>
      <c r="J98" s="4"/>
      <c r="K98" s="4">
        <v>226</v>
      </c>
      <c r="L98" s="4">
        <v>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227</v>
      </c>
      <c r="F99" s="4">
        <f>ROUND(Source!AX92,O99)</f>
        <v>0</v>
      </c>
      <c r="G99" s="4" t="s">
        <v>168</v>
      </c>
      <c r="H99" s="4" t="s">
        <v>169</v>
      </c>
      <c r="I99" s="4"/>
      <c r="J99" s="4"/>
      <c r="K99" s="4">
        <v>227</v>
      </c>
      <c r="L99" s="4">
        <v>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228</v>
      </c>
      <c r="F100" s="4">
        <f>ROUND(Source!AY92,O100)</f>
        <v>24236.6</v>
      </c>
      <c r="G100" s="4" t="s">
        <v>170</v>
      </c>
      <c r="H100" s="4" t="s">
        <v>171</v>
      </c>
      <c r="I100" s="4"/>
      <c r="J100" s="4"/>
      <c r="K100" s="4">
        <v>228</v>
      </c>
      <c r="L100" s="4">
        <v>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216</v>
      </c>
      <c r="F101" s="4">
        <f>ROUND(Source!AP92,O101)</f>
        <v>0</v>
      </c>
      <c r="G101" s="4" t="s">
        <v>172</v>
      </c>
      <c r="H101" s="4" t="s">
        <v>173</v>
      </c>
      <c r="I101" s="4"/>
      <c r="J101" s="4"/>
      <c r="K101" s="4">
        <v>216</v>
      </c>
      <c r="L101" s="4">
        <v>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223</v>
      </c>
      <c r="F102" s="4">
        <f>ROUND(Source!AQ92,O102)</f>
        <v>0</v>
      </c>
      <c r="G102" s="4" t="s">
        <v>174</v>
      </c>
      <c r="H102" s="4" t="s">
        <v>175</v>
      </c>
      <c r="I102" s="4"/>
      <c r="J102" s="4"/>
      <c r="K102" s="4">
        <v>223</v>
      </c>
      <c r="L102" s="4">
        <v>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229</v>
      </c>
      <c r="F103" s="4">
        <f>ROUND(Source!AZ92,O103)</f>
        <v>0</v>
      </c>
      <c r="G103" s="4" t="s">
        <v>176</v>
      </c>
      <c r="H103" s="4" t="s">
        <v>177</v>
      </c>
      <c r="I103" s="4"/>
      <c r="J103" s="4"/>
      <c r="K103" s="4">
        <v>229</v>
      </c>
      <c r="L103" s="4">
        <v>10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203</v>
      </c>
      <c r="F104" s="4">
        <f>ROUND(Source!Q92,O104)</f>
        <v>3125.16</v>
      </c>
      <c r="G104" s="4" t="s">
        <v>178</v>
      </c>
      <c r="H104" s="4" t="s">
        <v>179</v>
      </c>
      <c r="I104" s="4"/>
      <c r="J104" s="4"/>
      <c r="K104" s="4">
        <v>203</v>
      </c>
      <c r="L104" s="4">
        <v>11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231</v>
      </c>
      <c r="F105" s="4">
        <f>ROUND(Source!BB92,O105)</f>
        <v>0</v>
      </c>
      <c r="G105" s="4" t="s">
        <v>180</v>
      </c>
      <c r="H105" s="4" t="s">
        <v>181</v>
      </c>
      <c r="I105" s="4"/>
      <c r="J105" s="4"/>
      <c r="K105" s="4">
        <v>231</v>
      </c>
      <c r="L105" s="4">
        <v>12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204</v>
      </c>
      <c r="F106" s="4">
        <f>ROUND(Source!R92,O106)</f>
        <v>297.93</v>
      </c>
      <c r="G106" s="4" t="s">
        <v>182</v>
      </c>
      <c r="H106" s="4" t="s">
        <v>183</v>
      </c>
      <c r="I106" s="4"/>
      <c r="J106" s="4"/>
      <c r="K106" s="4">
        <v>204</v>
      </c>
      <c r="L106" s="4">
        <v>13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205</v>
      </c>
      <c r="F107" s="4">
        <f>ROUND(Source!S92,O107)</f>
        <v>615.58000000000004</v>
      </c>
      <c r="G107" s="4" t="s">
        <v>184</v>
      </c>
      <c r="H107" s="4" t="s">
        <v>185</v>
      </c>
      <c r="I107" s="4"/>
      <c r="J107" s="4"/>
      <c r="K107" s="4">
        <v>205</v>
      </c>
      <c r="L107" s="4">
        <v>14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232</v>
      </c>
      <c r="F108" s="4">
        <f>ROUND(Source!BC92,O108)</f>
        <v>0</v>
      </c>
      <c r="G108" s="4" t="s">
        <v>186</v>
      </c>
      <c r="H108" s="4" t="s">
        <v>187</v>
      </c>
      <c r="I108" s="4"/>
      <c r="J108" s="4"/>
      <c r="K108" s="4">
        <v>232</v>
      </c>
      <c r="L108" s="4">
        <v>15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1</v>
      </c>
      <c r="E109" s="4">
        <v>214</v>
      </c>
      <c r="F109" s="4">
        <f>ROUND(Source!AS92,O109)</f>
        <v>26813.77</v>
      </c>
      <c r="G109" s="4" t="s">
        <v>188</v>
      </c>
      <c r="H109" s="4" t="s">
        <v>189</v>
      </c>
      <c r="I109" s="4"/>
      <c r="J109" s="4"/>
      <c r="K109" s="4">
        <v>214</v>
      </c>
      <c r="L109" s="4">
        <v>16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1</v>
      </c>
      <c r="E110" s="4">
        <v>215</v>
      </c>
      <c r="F110" s="4">
        <f>ROUND(Source!AT92,O110)</f>
        <v>2604.46</v>
      </c>
      <c r="G110" s="4" t="s">
        <v>190</v>
      </c>
      <c r="H110" s="4" t="s">
        <v>191</v>
      </c>
      <c r="I110" s="4"/>
      <c r="J110" s="4"/>
      <c r="K110" s="4">
        <v>215</v>
      </c>
      <c r="L110" s="4">
        <v>17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1</v>
      </c>
      <c r="E111" s="4">
        <v>217</v>
      </c>
      <c r="F111" s="4">
        <f>ROUND(Source!AU92,O111)</f>
        <v>0</v>
      </c>
      <c r="G111" s="4" t="s">
        <v>192</v>
      </c>
      <c r="H111" s="4" t="s">
        <v>193</v>
      </c>
      <c r="I111" s="4"/>
      <c r="J111" s="4"/>
      <c r="K111" s="4">
        <v>217</v>
      </c>
      <c r="L111" s="4">
        <v>18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1</v>
      </c>
      <c r="E112" s="4">
        <v>230</v>
      </c>
      <c r="F112" s="4">
        <f>ROUND(Source!BA92,O112)</f>
        <v>0</v>
      </c>
      <c r="G112" s="4" t="s">
        <v>194</v>
      </c>
      <c r="H112" s="4" t="s">
        <v>195</v>
      </c>
      <c r="I112" s="4"/>
      <c r="J112" s="4"/>
      <c r="K112" s="4">
        <v>230</v>
      </c>
      <c r="L112" s="4">
        <v>19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206</v>
      </c>
      <c r="F113" s="4">
        <f>ROUND(Source!T92,O113)</f>
        <v>0</v>
      </c>
      <c r="G113" s="4" t="s">
        <v>196</v>
      </c>
      <c r="H113" s="4" t="s">
        <v>197</v>
      </c>
      <c r="I113" s="4"/>
      <c r="J113" s="4"/>
      <c r="K113" s="4">
        <v>206</v>
      </c>
      <c r="L113" s="4">
        <v>20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207</v>
      </c>
      <c r="F114" s="4">
        <f>Source!U92</f>
        <v>80.954265100000001</v>
      </c>
      <c r="G114" s="4" t="s">
        <v>198</v>
      </c>
      <c r="H114" s="4" t="s">
        <v>199</v>
      </c>
      <c r="I114" s="4"/>
      <c r="J114" s="4"/>
      <c r="K114" s="4">
        <v>207</v>
      </c>
      <c r="L114" s="4">
        <v>21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208</v>
      </c>
      <c r="F115" s="4">
        <f>Source!V92</f>
        <v>24.538777499999998</v>
      </c>
      <c r="G115" s="4" t="s">
        <v>200</v>
      </c>
      <c r="H115" s="4" t="s">
        <v>201</v>
      </c>
      <c r="I115" s="4"/>
      <c r="J115" s="4"/>
      <c r="K115" s="4">
        <v>208</v>
      </c>
      <c r="L115" s="4">
        <v>22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209</v>
      </c>
      <c r="F116" s="4">
        <f>ROUND(Source!W92,O116)</f>
        <v>0</v>
      </c>
      <c r="G116" s="4" t="s">
        <v>202</v>
      </c>
      <c r="H116" s="4" t="s">
        <v>203</v>
      </c>
      <c r="I116" s="4"/>
      <c r="J116" s="4"/>
      <c r="K116" s="4">
        <v>209</v>
      </c>
      <c r="L116" s="4">
        <v>23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233</v>
      </c>
      <c r="F117" s="4">
        <f>ROUND(Source!BD92,O117)</f>
        <v>0</v>
      </c>
      <c r="G117" s="4" t="s">
        <v>204</v>
      </c>
      <c r="H117" s="4" t="s">
        <v>205</v>
      </c>
      <c r="I117" s="4"/>
      <c r="J117" s="4"/>
      <c r="K117" s="4">
        <v>233</v>
      </c>
      <c r="L117" s="4">
        <v>24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210</v>
      </c>
      <c r="F118" s="4">
        <f>ROUND(Source!X92,O118)</f>
        <v>919.75</v>
      </c>
      <c r="G118" s="4" t="s">
        <v>206</v>
      </c>
      <c r="H118" s="4" t="s">
        <v>207</v>
      </c>
      <c r="I118" s="4"/>
      <c r="J118" s="4"/>
      <c r="K118" s="4">
        <v>210</v>
      </c>
      <c r="L118" s="4">
        <v>25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211</v>
      </c>
      <c r="F119" s="4">
        <f>ROUND(Source!Y92,O119)</f>
        <v>521.14</v>
      </c>
      <c r="G119" s="4" t="s">
        <v>208</v>
      </c>
      <c r="H119" s="4" t="s">
        <v>209</v>
      </c>
      <c r="I119" s="4"/>
      <c r="J119" s="4"/>
      <c r="K119" s="4">
        <v>211</v>
      </c>
      <c r="L119" s="4">
        <v>26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224</v>
      </c>
      <c r="F120" s="4">
        <f>ROUND(Source!AR92,O120)</f>
        <v>29418.23</v>
      </c>
      <c r="G120" s="4" t="s">
        <v>210</v>
      </c>
      <c r="H120" s="4" t="s">
        <v>211</v>
      </c>
      <c r="I120" s="4"/>
      <c r="J120" s="4"/>
      <c r="K120" s="4">
        <v>224</v>
      </c>
      <c r="L120" s="4">
        <v>27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06" x14ac:dyDescent="0.2">
      <c r="A121" s="4">
        <v>50</v>
      </c>
      <c r="B121" s="4">
        <v>1</v>
      </c>
      <c r="C121" s="4">
        <v>0</v>
      </c>
      <c r="D121" s="4">
        <v>2</v>
      </c>
      <c r="E121" s="4">
        <v>0</v>
      </c>
      <c r="F121" s="4">
        <f>ROUND((F120-F101)*8.21,O121)</f>
        <v>241523.67</v>
      </c>
      <c r="G121" s="4" t="s">
        <v>212</v>
      </c>
      <c r="H121" s="4" t="s">
        <v>213</v>
      </c>
      <c r="I121" s="4"/>
      <c r="J121" s="4"/>
      <c r="K121" s="4">
        <v>212</v>
      </c>
      <c r="L121" s="4">
        <v>28</v>
      </c>
      <c r="M121" s="4">
        <v>0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06" x14ac:dyDescent="0.2">
      <c r="A122" s="4">
        <v>50</v>
      </c>
      <c r="B122" s="4">
        <v>1</v>
      </c>
      <c r="C122" s="4">
        <v>0</v>
      </c>
      <c r="D122" s="4">
        <v>2</v>
      </c>
      <c r="E122" s="4">
        <v>0</v>
      </c>
      <c r="F122" s="4">
        <f>ROUND(F121*0.2,O122)</f>
        <v>48304.73</v>
      </c>
      <c r="G122" s="4" t="s">
        <v>214</v>
      </c>
      <c r="H122" s="4" t="s">
        <v>215</v>
      </c>
      <c r="I122" s="4"/>
      <c r="J122" s="4"/>
      <c r="K122" s="4">
        <v>212</v>
      </c>
      <c r="L122" s="4">
        <v>29</v>
      </c>
      <c r="M122" s="4">
        <v>0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06" x14ac:dyDescent="0.2">
      <c r="A123" s="4">
        <v>50</v>
      </c>
      <c r="B123" s="4">
        <v>1</v>
      </c>
      <c r="C123" s="4">
        <v>0</v>
      </c>
      <c r="D123" s="4">
        <v>2</v>
      </c>
      <c r="E123" s="4">
        <v>0</v>
      </c>
      <c r="F123" s="4">
        <f>ROUND(F121+F122,O123)</f>
        <v>289828.40000000002</v>
      </c>
      <c r="G123" s="4" t="s">
        <v>216</v>
      </c>
      <c r="H123" s="4" t="s">
        <v>217</v>
      </c>
      <c r="I123" s="4"/>
      <c r="J123" s="4"/>
      <c r="K123" s="4">
        <v>212</v>
      </c>
      <c r="L123" s="4">
        <v>30</v>
      </c>
      <c r="M123" s="4">
        <v>0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5" spans="1:206" x14ac:dyDescent="0.2">
      <c r="A125" s="2">
        <v>51</v>
      </c>
      <c r="B125" s="2">
        <f>B20</f>
        <v>1</v>
      </c>
      <c r="C125" s="2">
        <f>A20</f>
        <v>3</v>
      </c>
      <c r="D125" s="2">
        <f>ROW(A20)</f>
        <v>20</v>
      </c>
      <c r="E125" s="2"/>
      <c r="F125" s="2" t="str">
        <f>IF(F20&lt;&gt;"",F20,"")</f>
        <v>Новая локальная смета</v>
      </c>
      <c r="G125" s="2" t="str">
        <f>IF(G20&lt;&gt;"",G20,"")</f>
        <v>Новая локальная смета</v>
      </c>
      <c r="H125" s="2">
        <v>0</v>
      </c>
      <c r="I125" s="2"/>
      <c r="J125" s="2"/>
      <c r="K125" s="2"/>
      <c r="L125" s="2"/>
      <c r="M125" s="2"/>
      <c r="N125" s="2"/>
      <c r="O125" s="2">
        <f t="shared" ref="O125:T125" si="77">ROUND(O92+AB125,2)</f>
        <v>27977.34</v>
      </c>
      <c r="P125" s="2">
        <f t="shared" si="77"/>
        <v>24236.6</v>
      </c>
      <c r="Q125" s="2">
        <f t="shared" si="77"/>
        <v>3125.16</v>
      </c>
      <c r="R125" s="2">
        <f t="shared" si="77"/>
        <v>297.93</v>
      </c>
      <c r="S125" s="2">
        <f t="shared" si="77"/>
        <v>615.58000000000004</v>
      </c>
      <c r="T125" s="2">
        <f t="shared" si="77"/>
        <v>0</v>
      </c>
      <c r="U125" s="2">
        <f>U92+AH125</f>
        <v>80.954265100000001</v>
      </c>
      <c r="V125" s="2">
        <f>V92+AI125</f>
        <v>24.538777499999998</v>
      </c>
      <c r="W125" s="2">
        <f>ROUND(W92+AJ125,2)</f>
        <v>0</v>
      </c>
      <c r="X125" s="2">
        <f>ROUND(X92+AK125,2)</f>
        <v>919.75</v>
      </c>
      <c r="Y125" s="2">
        <f>ROUND(Y92+AL125,2)</f>
        <v>521.14</v>
      </c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>
        <f t="shared" ref="AO125:BD125" si="78">ROUND(AO92+BX125,2)</f>
        <v>0</v>
      </c>
      <c r="AP125" s="2">
        <f t="shared" si="78"/>
        <v>0</v>
      </c>
      <c r="AQ125" s="2">
        <f t="shared" si="78"/>
        <v>0</v>
      </c>
      <c r="AR125" s="2">
        <f t="shared" si="78"/>
        <v>29418.23</v>
      </c>
      <c r="AS125" s="2">
        <f t="shared" si="78"/>
        <v>26813.77</v>
      </c>
      <c r="AT125" s="2">
        <f t="shared" si="78"/>
        <v>2604.46</v>
      </c>
      <c r="AU125" s="2">
        <f t="shared" si="78"/>
        <v>0</v>
      </c>
      <c r="AV125" s="2">
        <f t="shared" si="78"/>
        <v>24236.6</v>
      </c>
      <c r="AW125" s="2">
        <f t="shared" si="78"/>
        <v>24236.6</v>
      </c>
      <c r="AX125" s="2">
        <f t="shared" si="78"/>
        <v>0</v>
      </c>
      <c r="AY125" s="2">
        <f t="shared" si="78"/>
        <v>24236.6</v>
      </c>
      <c r="AZ125" s="2">
        <f t="shared" si="78"/>
        <v>0</v>
      </c>
      <c r="BA125" s="2">
        <f t="shared" si="78"/>
        <v>0</v>
      </c>
      <c r="BB125" s="2">
        <f t="shared" si="78"/>
        <v>0</v>
      </c>
      <c r="BC125" s="2">
        <f t="shared" si="78"/>
        <v>0</v>
      </c>
      <c r="BD125" s="2">
        <f t="shared" si="78"/>
        <v>0</v>
      </c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>
        <v>0</v>
      </c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201</v>
      </c>
      <c r="F127" s="4">
        <f>ROUND(Source!O125,O127)</f>
        <v>27977.34</v>
      </c>
      <c r="G127" s="4" t="s">
        <v>158</v>
      </c>
      <c r="H127" s="4" t="s">
        <v>159</v>
      </c>
      <c r="I127" s="4"/>
      <c r="J127" s="4"/>
      <c r="K127" s="4">
        <v>201</v>
      </c>
      <c r="L127" s="4">
        <v>1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202</v>
      </c>
      <c r="F128" s="4">
        <f>ROUND(Source!P125,O128)</f>
        <v>24236.6</v>
      </c>
      <c r="G128" s="4" t="s">
        <v>160</v>
      </c>
      <c r="H128" s="4" t="s">
        <v>161</v>
      </c>
      <c r="I128" s="4"/>
      <c r="J128" s="4"/>
      <c r="K128" s="4">
        <v>202</v>
      </c>
      <c r="L128" s="4">
        <v>2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222</v>
      </c>
      <c r="F129" s="4">
        <f>ROUND(Source!AO125,O129)</f>
        <v>0</v>
      </c>
      <c r="G129" s="4" t="s">
        <v>162</v>
      </c>
      <c r="H129" s="4" t="s">
        <v>163</v>
      </c>
      <c r="I129" s="4"/>
      <c r="J129" s="4"/>
      <c r="K129" s="4">
        <v>222</v>
      </c>
      <c r="L129" s="4">
        <v>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225</v>
      </c>
      <c r="F130" s="4">
        <f>ROUND(Source!AV125,O130)</f>
        <v>24236.6</v>
      </c>
      <c r="G130" s="4" t="s">
        <v>164</v>
      </c>
      <c r="H130" s="4" t="s">
        <v>165</v>
      </c>
      <c r="I130" s="4"/>
      <c r="J130" s="4"/>
      <c r="K130" s="4">
        <v>225</v>
      </c>
      <c r="L130" s="4">
        <v>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226</v>
      </c>
      <c r="F131" s="4">
        <f>ROUND(Source!AW125,O131)</f>
        <v>24236.6</v>
      </c>
      <c r="G131" s="4" t="s">
        <v>166</v>
      </c>
      <c r="H131" s="4" t="s">
        <v>167</v>
      </c>
      <c r="I131" s="4"/>
      <c r="J131" s="4"/>
      <c r="K131" s="4">
        <v>226</v>
      </c>
      <c r="L131" s="4">
        <v>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227</v>
      </c>
      <c r="F132" s="4">
        <f>ROUND(Source!AX125,O132)</f>
        <v>0</v>
      </c>
      <c r="G132" s="4" t="s">
        <v>168</v>
      </c>
      <c r="H132" s="4" t="s">
        <v>169</v>
      </c>
      <c r="I132" s="4"/>
      <c r="J132" s="4"/>
      <c r="K132" s="4">
        <v>227</v>
      </c>
      <c r="L132" s="4">
        <v>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228</v>
      </c>
      <c r="F133" s="4">
        <f>ROUND(Source!AY125,O133)</f>
        <v>24236.6</v>
      </c>
      <c r="G133" s="4" t="s">
        <v>170</v>
      </c>
      <c r="H133" s="4" t="s">
        <v>171</v>
      </c>
      <c r="I133" s="4"/>
      <c r="J133" s="4"/>
      <c r="K133" s="4">
        <v>228</v>
      </c>
      <c r="L133" s="4">
        <v>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216</v>
      </c>
      <c r="F134" s="4">
        <f>ROUND(Source!AP125,O134)</f>
        <v>0</v>
      </c>
      <c r="G134" s="4" t="s">
        <v>172</v>
      </c>
      <c r="H134" s="4" t="s">
        <v>173</v>
      </c>
      <c r="I134" s="4"/>
      <c r="J134" s="4"/>
      <c r="K134" s="4">
        <v>216</v>
      </c>
      <c r="L134" s="4">
        <v>8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223</v>
      </c>
      <c r="F135" s="4">
        <f>ROUND(Source!AQ125,O135)</f>
        <v>0</v>
      </c>
      <c r="G135" s="4" t="s">
        <v>174</v>
      </c>
      <c r="H135" s="4" t="s">
        <v>175</v>
      </c>
      <c r="I135" s="4"/>
      <c r="J135" s="4"/>
      <c r="K135" s="4">
        <v>223</v>
      </c>
      <c r="L135" s="4">
        <v>9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229</v>
      </c>
      <c r="F136" s="4">
        <f>ROUND(Source!AZ125,O136)</f>
        <v>0</v>
      </c>
      <c r="G136" s="4" t="s">
        <v>176</v>
      </c>
      <c r="H136" s="4" t="s">
        <v>177</v>
      </c>
      <c r="I136" s="4"/>
      <c r="J136" s="4"/>
      <c r="K136" s="4">
        <v>229</v>
      </c>
      <c r="L136" s="4">
        <v>10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203</v>
      </c>
      <c r="F137" s="4">
        <f>ROUND(Source!Q125,O137)</f>
        <v>3125.16</v>
      </c>
      <c r="G137" s="4" t="s">
        <v>178</v>
      </c>
      <c r="H137" s="4" t="s">
        <v>179</v>
      </c>
      <c r="I137" s="4"/>
      <c r="J137" s="4"/>
      <c r="K137" s="4">
        <v>203</v>
      </c>
      <c r="L137" s="4">
        <v>11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231</v>
      </c>
      <c r="F138" s="4">
        <f>ROUND(Source!BB125,O138)</f>
        <v>0</v>
      </c>
      <c r="G138" s="4" t="s">
        <v>180</v>
      </c>
      <c r="H138" s="4" t="s">
        <v>181</v>
      </c>
      <c r="I138" s="4"/>
      <c r="J138" s="4"/>
      <c r="K138" s="4">
        <v>231</v>
      </c>
      <c r="L138" s="4">
        <v>12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204</v>
      </c>
      <c r="F139" s="4">
        <f>ROUND(Source!R125,O139)</f>
        <v>297.93</v>
      </c>
      <c r="G139" s="4" t="s">
        <v>182</v>
      </c>
      <c r="H139" s="4" t="s">
        <v>183</v>
      </c>
      <c r="I139" s="4"/>
      <c r="J139" s="4"/>
      <c r="K139" s="4">
        <v>204</v>
      </c>
      <c r="L139" s="4">
        <v>13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205</v>
      </c>
      <c r="F140" s="4">
        <f>ROUND(Source!S125,O140)</f>
        <v>615.58000000000004</v>
      </c>
      <c r="G140" s="4" t="s">
        <v>184</v>
      </c>
      <c r="H140" s="4" t="s">
        <v>185</v>
      </c>
      <c r="I140" s="4"/>
      <c r="J140" s="4"/>
      <c r="K140" s="4">
        <v>205</v>
      </c>
      <c r="L140" s="4">
        <v>14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232</v>
      </c>
      <c r="F141" s="4">
        <f>ROUND(Source!BC125,O141)</f>
        <v>0</v>
      </c>
      <c r="G141" s="4" t="s">
        <v>186</v>
      </c>
      <c r="H141" s="4" t="s">
        <v>187</v>
      </c>
      <c r="I141" s="4"/>
      <c r="J141" s="4"/>
      <c r="K141" s="4">
        <v>232</v>
      </c>
      <c r="L141" s="4">
        <v>15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214</v>
      </c>
      <c r="F142" s="4">
        <f>ROUND(Source!AS125,O142)</f>
        <v>26813.77</v>
      </c>
      <c r="G142" s="4" t="s">
        <v>188</v>
      </c>
      <c r="H142" s="4" t="s">
        <v>189</v>
      </c>
      <c r="I142" s="4"/>
      <c r="J142" s="4"/>
      <c r="K142" s="4">
        <v>214</v>
      </c>
      <c r="L142" s="4">
        <v>16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215</v>
      </c>
      <c r="F143" s="4">
        <f>ROUND(Source!AT125,O143)</f>
        <v>2604.46</v>
      </c>
      <c r="G143" s="4" t="s">
        <v>190</v>
      </c>
      <c r="H143" s="4" t="s">
        <v>191</v>
      </c>
      <c r="I143" s="4"/>
      <c r="J143" s="4"/>
      <c r="K143" s="4">
        <v>215</v>
      </c>
      <c r="L143" s="4">
        <v>17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217</v>
      </c>
      <c r="F144" s="4">
        <f>ROUND(Source!AU125,O144)</f>
        <v>0</v>
      </c>
      <c r="G144" s="4" t="s">
        <v>192</v>
      </c>
      <c r="H144" s="4" t="s">
        <v>193</v>
      </c>
      <c r="I144" s="4"/>
      <c r="J144" s="4"/>
      <c r="K144" s="4">
        <v>217</v>
      </c>
      <c r="L144" s="4">
        <v>18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230</v>
      </c>
      <c r="F145" s="4">
        <f>ROUND(Source!BA125,O145)</f>
        <v>0</v>
      </c>
      <c r="G145" s="4" t="s">
        <v>194</v>
      </c>
      <c r="H145" s="4" t="s">
        <v>195</v>
      </c>
      <c r="I145" s="4"/>
      <c r="J145" s="4"/>
      <c r="K145" s="4">
        <v>230</v>
      </c>
      <c r="L145" s="4">
        <v>19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206</v>
      </c>
      <c r="F146" s="4">
        <f>ROUND(Source!T125,O146)</f>
        <v>0</v>
      </c>
      <c r="G146" s="4" t="s">
        <v>196</v>
      </c>
      <c r="H146" s="4" t="s">
        <v>197</v>
      </c>
      <c r="I146" s="4"/>
      <c r="J146" s="4"/>
      <c r="K146" s="4">
        <v>206</v>
      </c>
      <c r="L146" s="4">
        <v>20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207</v>
      </c>
      <c r="F147" s="4">
        <f>Source!U125</f>
        <v>80.954265100000001</v>
      </c>
      <c r="G147" s="4" t="s">
        <v>198</v>
      </c>
      <c r="H147" s="4" t="s">
        <v>199</v>
      </c>
      <c r="I147" s="4"/>
      <c r="J147" s="4"/>
      <c r="K147" s="4">
        <v>207</v>
      </c>
      <c r="L147" s="4">
        <v>21</v>
      </c>
      <c r="M147" s="4">
        <v>3</v>
      </c>
      <c r="N147" s="4" t="s">
        <v>3</v>
      </c>
      <c r="O147" s="4">
        <v>-1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208</v>
      </c>
      <c r="F148" s="4">
        <f>Source!V125</f>
        <v>24.538777499999998</v>
      </c>
      <c r="G148" s="4" t="s">
        <v>200</v>
      </c>
      <c r="H148" s="4" t="s">
        <v>201</v>
      </c>
      <c r="I148" s="4"/>
      <c r="J148" s="4"/>
      <c r="K148" s="4">
        <v>208</v>
      </c>
      <c r="L148" s="4">
        <v>22</v>
      </c>
      <c r="M148" s="4">
        <v>3</v>
      </c>
      <c r="N148" s="4" t="s">
        <v>3</v>
      </c>
      <c r="O148" s="4">
        <v>-1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209</v>
      </c>
      <c r="F149" s="4">
        <f>ROUND(Source!W125,O149)</f>
        <v>0</v>
      </c>
      <c r="G149" s="4" t="s">
        <v>202</v>
      </c>
      <c r="H149" s="4" t="s">
        <v>203</v>
      </c>
      <c r="I149" s="4"/>
      <c r="J149" s="4"/>
      <c r="K149" s="4">
        <v>209</v>
      </c>
      <c r="L149" s="4">
        <v>23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1</v>
      </c>
      <c r="C150" s="4">
        <v>0</v>
      </c>
      <c r="D150" s="4">
        <v>1</v>
      </c>
      <c r="E150" s="4">
        <v>233</v>
      </c>
      <c r="F150" s="4">
        <f>ROUND(Source!BD125,O150)</f>
        <v>0</v>
      </c>
      <c r="G150" s="4" t="s">
        <v>204</v>
      </c>
      <c r="H150" s="4" t="s">
        <v>205</v>
      </c>
      <c r="I150" s="4"/>
      <c r="J150" s="4"/>
      <c r="K150" s="4">
        <v>233</v>
      </c>
      <c r="L150" s="4">
        <v>24</v>
      </c>
      <c r="M150" s="4">
        <v>0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06" x14ac:dyDescent="0.2">
      <c r="A151" s="4">
        <v>50</v>
      </c>
      <c r="B151" s="4">
        <v>1</v>
      </c>
      <c r="C151" s="4">
        <v>0</v>
      </c>
      <c r="D151" s="4">
        <v>1</v>
      </c>
      <c r="E151" s="4">
        <v>210</v>
      </c>
      <c r="F151" s="4">
        <f>ROUND(Source!X125,O151)</f>
        <v>919.75</v>
      </c>
      <c r="G151" s="4" t="s">
        <v>206</v>
      </c>
      <c r="H151" s="4" t="s">
        <v>207</v>
      </c>
      <c r="I151" s="4"/>
      <c r="J151" s="4"/>
      <c r="K151" s="4">
        <v>210</v>
      </c>
      <c r="L151" s="4">
        <v>25</v>
      </c>
      <c r="M151" s="4">
        <v>0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06" x14ac:dyDescent="0.2">
      <c r="A152" s="4">
        <v>50</v>
      </c>
      <c r="B152" s="4">
        <v>1</v>
      </c>
      <c r="C152" s="4">
        <v>0</v>
      </c>
      <c r="D152" s="4">
        <v>1</v>
      </c>
      <c r="E152" s="4">
        <v>211</v>
      </c>
      <c r="F152" s="4">
        <f>ROUND(Source!Y125,O152)</f>
        <v>521.14</v>
      </c>
      <c r="G152" s="4" t="s">
        <v>208</v>
      </c>
      <c r="H152" s="4" t="s">
        <v>209</v>
      </c>
      <c r="I152" s="4"/>
      <c r="J152" s="4"/>
      <c r="K152" s="4">
        <v>211</v>
      </c>
      <c r="L152" s="4">
        <v>26</v>
      </c>
      <c r="M152" s="4">
        <v>0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06" x14ac:dyDescent="0.2">
      <c r="A153" s="4">
        <v>50</v>
      </c>
      <c r="B153" s="4">
        <v>1</v>
      </c>
      <c r="C153" s="4">
        <v>0</v>
      </c>
      <c r="D153" s="4">
        <v>1</v>
      </c>
      <c r="E153" s="4">
        <v>224</v>
      </c>
      <c r="F153" s="4">
        <f>ROUND(Source!AR125,O153)</f>
        <v>29418.23</v>
      </c>
      <c r="G153" s="4" t="s">
        <v>210</v>
      </c>
      <c r="H153" s="4" t="s">
        <v>211</v>
      </c>
      <c r="I153" s="4"/>
      <c r="J153" s="4"/>
      <c r="K153" s="4">
        <v>224</v>
      </c>
      <c r="L153" s="4">
        <v>27</v>
      </c>
      <c r="M153" s="4">
        <v>0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06" x14ac:dyDescent="0.2">
      <c r="A154" s="4">
        <v>50</v>
      </c>
      <c r="B154" s="4">
        <v>1</v>
      </c>
      <c r="C154" s="4">
        <v>0</v>
      </c>
      <c r="D154" s="4">
        <v>2</v>
      </c>
      <c r="E154" s="4">
        <v>0</v>
      </c>
      <c r="F154" s="4">
        <f>ROUND((F153-F134)*8.21,O154)</f>
        <v>241523.67</v>
      </c>
      <c r="G154" s="4" t="s">
        <v>212</v>
      </c>
      <c r="H154" s="4" t="s">
        <v>213</v>
      </c>
      <c r="I154" s="4"/>
      <c r="J154" s="4"/>
      <c r="K154" s="4">
        <v>212</v>
      </c>
      <c r="L154" s="4">
        <v>28</v>
      </c>
      <c r="M154" s="4">
        <v>0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1</v>
      </c>
      <c r="C155" s="4">
        <v>0</v>
      </c>
      <c r="D155" s="4">
        <v>2</v>
      </c>
      <c r="E155" s="4">
        <v>0</v>
      </c>
      <c r="F155" s="4">
        <f>ROUND(F154*0.2,O155)</f>
        <v>48304.73</v>
      </c>
      <c r="G155" s="4" t="s">
        <v>214</v>
      </c>
      <c r="H155" s="4" t="s">
        <v>215</v>
      </c>
      <c r="I155" s="4"/>
      <c r="J155" s="4"/>
      <c r="K155" s="4">
        <v>212</v>
      </c>
      <c r="L155" s="4">
        <v>29</v>
      </c>
      <c r="M155" s="4">
        <v>0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1</v>
      </c>
      <c r="C156" s="4">
        <v>0</v>
      </c>
      <c r="D156" s="4">
        <v>2</v>
      </c>
      <c r="E156" s="4">
        <v>0</v>
      </c>
      <c r="F156" s="4">
        <f>ROUND(F154+F155,O156)</f>
        <v>289828.40000000002</v>
      </c>
      <c r="G156" s="4" t="s">
        <v>216</v>
      </c>
      <c r="H156" s="4" t="s">
        <v>217</v>
      </c>
      <c r="I156" s="4"/>
      <c r="J156" s="4"/>
      <c r="K156" s="4">
        <v>212</v>
      </c>
      <c r="L156" s="4">
        <v>30</v>
      </c>
      <c r="M156" s="4">
        <v>0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8" spans="1:206" x14ac:dyDescent="0.2">
      <c r="A158" s="2">
        <v>51</v>
      </c>
      <c r="B158" s="2">
        <f>B12</f>
        <v>217</v>
      </c>
      <c r="C158" s="2">
        <f>A12</f>
        <v>1</v>
      </c>
      <c r="D158" s="2">
        <f>ROW(A12)</f>
        <v>12</v>
      </c>
      <c r="E158" s="2"/>
      <c r="F158" s="2" t="str">
        <f>IF(F12&lt;&gt;"",F12,"")</f>
        <v/>
      </c>
      <c r="G158" s="2" t="str">
        <f>IF(G12&lt;&gt;"",G12,"")</f>
        <v>ул. Юрьева, 1/6 Освещение</v>
      </c>
      <c r="H158" s="2">
        <v>0</v>
      </c>
      <c r="I158" s="2"/>
      <c r="J158" s="2"/>
      <c r="K158" s="2"/>
      <c r="L158" s="2"/>
      <c r="M158" s="2"/>
      <c r="N158" s="2"/>
      <c r="O158" s="2">
        <f t="shared" ref="O158:T158" si="79">ROUND(O125,2)</f>
        <v>27977.34</v>
      </c>
      <c r="P158" s="2">
        <f t="shared" si="79"/>
        <v>24236.6</v>
      </c>
      <c r="Q158" s="2">
        <f t="shared" si="79"/>
        <v>3125.16</v>
      </c>
      <c r="R158" s="2">
        <f t="shared" si="79"/>
        <v>297.93</v>
      </c>
      <c r="S158" s="2">
        <f t="shared" si="79"/>
        <v>615.58000000000004</v>
      </c>
      <c r="T158" s="2">
        <f t="shared" si="79"/>
        <v>0</v>
      </c>
      <c r="U158" s="2">
        <f>U125</f>
        <v>80.954265100000001</v>
      </c>
      <c r="V158" s="2">
        <f>V125</f>
        <v>24.538777499999998</v>
      </c>
      <c r="W158" s="2">
        <f>ROUND(W125,2)</f>
        <v>0</v>
      </c>
      <c r="X158" s="2">
        <f>ROUND(X125,2)</f>
        <v>919.75</v>
      </c>
      <c r="Y158" s="2">
        <f>ROUND(Y125,2)</f>
        <v>521.14</v>
      </c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>
        <f t="shared" ref="AO158:BD158" si="80">ROUND(AO125,2)</f>
        <v>0</v>
      </c>
      <c r="AP158" s="2">
        <f t="shared" si="80"/>
        <v>0</v>
      </c>
      <c r="AQ158" s="2">
        <f t="shared" si="80"/>
        <v>0</v>
      </c>
      <c r="AR158" s="2">
        <f t="shared" si="80"/>
        <v>29418.23</v>
      </c>
      <c r="AS158" s="2">
        <f t="shared" si="80"/>
        <v>26813.77</v>
      </c>
      <c r="AT158" s="2">
        <f t="shared" si="80"/>
        <v>2604.46</v>
      </c>
      <c r="AU158" s="2">
        <f t="shared" si="80"/>
        <v>0</v>
      </c>
      <c r="AV158" s="2">
        <f t="shared" si="80"/>
        <v>24236.6</v>
      </c>
      <c r="AW158" s="2">
        <f t="shared" si="80"/>
        <v>24236.6</v>
      </c>
      <c r="AX158" s="2">
        <f t="shared" si="80"/>
        <v>0</v>
      </c>
      <c r="AY158" s="2">
        <f t="shared" si="80"/>
        <v>24236.6</v>
      </c>
      <c r="AZ158" s="2">
        <f t="shared" si="80"/>
        <v>0</v>
      </c>
      <c r="BA158" s="2">
        <f t="shared" si="80"/>
        <v>0</v>
      </c>
      <c r="BB158" s="2">
        <f t="shared" si="80"/>
        <v>0</v>
      </c>
      <c r="BC158" s="2">
        <f t="shared" si="80"/>
        <v>0</v>
      </c>
      <c r="BD158" s="2">
        <f t="shared" si="80"/>
        <v>0</v>
      </c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>
        <v>0</v>
      </c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201</v>
      </c>
      <c r="F160" s="4">
        <f>ROUND(Source!O158,O160)</f>
        <v>27977.34</v>
      </c>
      <c r="G160" s="4" t="s">
        <v>158</v>
      </c>
      <c r="H160" s="4" t="s">
        <v>159</v>
      </c>
      <c r="I160" s="4"/>
      <c r="J160" s="4"/>
      <c r="K160" s="4">
        <v>201</v>
      </c>
      <c r="L160" s="4">
        <v>1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202</v>
      </c>
      <c r="F161" s="4">
        <f>ROUND(Source!P158,O161)</f>
        <v>24236.6</v>
      </c>
      <c r="G161" s="4" t="s">
        <v>160</v>
      </c>
      <c r="H161" s="4" t="s">
        <v>161</v>
      </c>
      <c r="I161" s="4"/>
      <c r="J161" s="4"/>
      <c r="K161" s="4">
        <v>202</v>
      </c>
      <c r="L161" s="4">
        <v>2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222</v>
      </c>
      <c r="F162" s="4">
        <f>ROUND(Source!AO158,O162)</f>
        <v>0</v>
      </c>
      <c r="G162" s="4" t="s">
        <v>162</v>
      </c>
      <c r="H162" s="4" t="s">
        <v>163</v>
      </c>
      <c r="I162" s="4"/>
      <c r="J162" s="4"/>
      <c r="K162" s="4">
        <v>222</v>
      </c>
      <c r="L162" s="4">
        <v>3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225</v>
      </c>
      <c r="F163" s="4">
        <f>ROUND(Source!AV158,O163)</f>
        <v>24236.6</v>
      </c>
      <c r="G163" s="4" t="s">
        <v>164</v>
      </c>
      <c r="H163" s="4" t="s">
        <v>165</v>
      </c>
      <c r="I163" s="4"/>
      <c r="J163" s="4"/>
      <c r="K163" s="4">
        <v>225</v>
      </c>
      <c r="L163" s="4">
        <v>4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226</v>
      </c>
      <c r="F164" s="4">
        <f>ROUND(Source!AW158,O164)</f>
        <v>24236.6</v>
      </c>
      <c r="G164" s="4" t="s">
        <v>166</v>
      </c>
      <c r="H164" s="4" t="s">
        <v>167</v>
      </c>
      <c r="I164" s="4"/>
      <c r="J164" s="4"/>
      <c r="K164" s="4">
        <v>226</v>
      </c>
      <c r="L164" s="4">
        <v>5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227</v>
      </c>
      <c r="F165" s="4">
        <f>ROUND(Source!AX158,O165)</f>
        <v>0</v>
      </c>
      <c r="G165" s="4" t="s">
        <v>168</v>
      </c>
      <c r="H165" s="4" t="s">
        <v>169</v>
      </c>
      <c r="I165" s="4"/>
      <c r="J165" s="4"/>
      <c r="K165" s="4">
        <v>227</v>
      </c>
      <c r="L165" s="4">
        <v>6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228</v>
      </c>
      <c r="F166" s="4">
        <f>ROUND(Source!AY158,O166)</f>
        <v>24236.6</v>
      </c>
      <c r="G166" s="4" t="s">
        <v>170</v>
      </c>
      <c r="H166" s="4" t="s">
        <v>171</v>
      </c>
      <c r="I166" s="4"/>
      <c r="J166" s="4"/>
      <c r="K166" s="4">
        <v>228</v>
      </c>
      <c r="L166" s="4">
        <v>7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216</v>
      </c>
      <c r="F167" s="4">
        <f>ROUND(Source!AP158,O167)</f>
        <v>0</v>
      </c>
      <c r="G167" s="4" t="s">
        <v>172</v>
      </c>
      <c r="H167" s="4" t="s">
        <v>173</v>
      </c>
      <c r="I167" s="4"/>
      <c r="J167" s="4"/>
      <c r="K167" s="4">
        <v>216</v>
      </c>
      <c r="L167" s="4">
        <v>8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223</v>
      </c>
      <c r="F168" s="4">
        <f>ROUND(Source!AQ158,O168)</f>
        <v>0</v>
      </c>
      <c r="G168" s="4" t="s">
        <v>174</v>
      </c>
      <c r="H168" s="4" t="s">
        <v>175</v>
      </c>
      <c r="I168" s="4"/>
      <c r="J168" s="4"/>
      <c r="K168" s="4">
        <v>223</v>
      </c>
      <c r="L168" s="4">
        <v>9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229</v>
      </c>
      <c r="F169" s="4">
        <f>ROUND(Source!AZ158,O169)</f>
        <v>0</v>
      </c>
      <c r="G169" s="4" t="s">
        <v>176</v>
      </c>
      <c r="H169" s="4" t="s">
        <v>177</v>
      </c>
      <c r="I169" s="4"/>
      <c r="J169" s="4"/>
      <c r="K169" s="4">
        <v>229</v>
      </c>
      <c r="L169" s="4">
        <v>10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203</v>
      </c>
      <c r="F170" s="4">
        <f>ROUND(Source!Q158,O170)</f>
        <v>3125.16</v>
      </c>
      <c r="G170" s="4" t="s">
        <v>178</v>
      </c>
      <c r="H170" s="4" t="s">
        <v>179</v>
      </c>
      <c r="I170" s="4"/>
      <c r="J170" s="4"/>
      <c r="K170" s="4">
        <v>203</v>
      </c>
      <c r="L170" s="4">
        <v>11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231</v>
      </c>
      <c r="F171" s="4">
        <f>ROUND(Source!BB158,O171)</f>
        <v>0</v>
      </c>
      <c r="G171" s="4" t="s">
        <v>180</v>
      </c>
      <c r="H171" s="4" t="s">
        <v>181</v>
      </c>
      <c r="I171" s="4"/>
      <c r="J171" s="4"/>
      <c r="K171" s="4">
        <v>231</v>
      </c>
      <c r="L171" s="4">
        <v>12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204</v>
      </c>
      <c r="F172" s="4">
        <f>ROUND(Source!R158,O172)</f>
        <v>297.93</v>
      </c>
      <c r="G172" s="4" t="s">
        <v>182</v>
      </c>
      <c r="H172" s="4" t="s">
        <v>183</v>
      </c>
      <c r="I172" s="4"/>
      <c r="J172" s="4"/>
      <c r="K172" s="4">
        <v>204</v>
      </c>
      <c r="L172" s="4">
        <v>13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205</v>
      </c>
      <c r="F173" s="4">
        <f>ROUND(Source!S158,O173)</f>
        <v>615.58000000000004</v>
      </c>
      <c r="G173" s="4" t="s">
        <v>184</v>
      </c>
      <c r="H173" s="4" t="s">
        <v>185</v>
      </c>
      <c r="I173" s="4"/>
      <c r="J173" s="4"/>
      <c r="K173" s="4">
        <v>205</v>
      </c>
      <c r="L173" s="4">
        <v>14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232</v>
      </c>
      <c r="F174" s="4">
        <f>ROUND(Source!BC158,O174)</f>
        <v>0</v>
      </c>
      <c r="G174" s="4" t="s">
        <v>186</v>
      </c>
      <c r="H174" s="4" t="s">
        <v>187</v>
      </c>
      <c r="I174" s="4"/>
      <c r="J174" s="4"/>
      <c r="K174" s="4">
        <v>232</v>
      </c>
      <c r="L174" s="4">
        <v>15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214</v>
      </c>
      <c r="F175" s="4">
        <f>ROUND(Source!AS158,O175)</f>
        <v>26813.77</v>
      </c>
      <c r="G175" s="4" t="s">
        <v>188</v>
      </c>
      <c r="H175" s="4" t="s">
        <v>189</v>
      </c>
      <c r="I175" s="4"/>
      <c r="J175" s="4"/>
      <c r="K175" s="4">
        <v>214</v>
      </c>
      <c r="L175" s="4">
        <v>16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215</v>
      </c>
      <c r="F176" s="4">
        <f>ROUND(Source!AT158,O176)</f>
        <v>2604.46</v>
      </c>
      <c r="G176" s="4" t="s">
        <v>190</v>
      </c>
      <c r="H176" s="4" t="s">
        <v>191</v>
      </c>
      <c r="I176" s="4"/>
      <c r="J176" s="4"/>
      <c r="K176" s="4">
        <v>215</v>
      </c>
      <c r="L176" s="4">
        <v>17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217</v>
      </c>
      <c r="F177" s="4">
        <f>ROUND(Source!AU158,O177)</f>
        <v>0</v>
      </c>
      <c r="G177" s="4" t="s">
        <v>192</v>
      </c>
      <c r="H177" s="4" t="s">
        <v>193</v>
      </c>
      <c r="I177" s="4"/>
      <c r="J177" s="4"/>
      <c r="K177" s="4">
        <v>217</v>
      </c>
      <c r="L177" s="4">
        <v>18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230</v>
      </c>
      <c r="F178" s="4">
        <f>ROUND(Source!BA158,O178)</f>
        <v>0</v>
      </c>
      <c r="G178" s="4" t="s">
        <v>194</v>
      </c>
      <c r="H178" s="4" t="s">
        <v>195</v>
      </c>
      <c r="I178" s="4"/>
      <c r="J178" s="4"/>
      <c r="K178" s="4">
        <v>230</v>
      </c>
      <c r="L178" s="4">
        <v>19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206</v>
      </c>
      <c r="F179" s="4">
        <f>ROUND(Source!T158,O179)</f>
        <v>0</v>
      </c>
      <c r="G179" s="4" t="s">
        <v>196</v>
      </c>
      <c r="H179" s="4" t="s">
        <v>197</v>
      </c>
      <c r="I179" s="4"/>
      <c r="J179" s="4"/>
      <c r="K179" s="4">
        <v>206</v>
      </c>
      <c r="L179" s="4">
        <v>20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207</v>
      </c>
      <c r="F180" s="4">
        <f>Source!U158</f>
        <v>80.954265100000001</v>
      </c>
      <c r="G180" s="4" t="s">
        <v>198</v>
      </c>
      <c r="H180" s="4" t="s">
        <v>199</v>
      </c>
      <c r="I180" s="4"/>
      <c r="J180" s="4"/>
      <c r="K180" s="4">
        <v>207</v>
      </c>
      <c r="L180" s="4">
        <v>21</v>
      </c>
      <c r="M180" s="4">
        <v>3</v>
      </c>
      <c r="N180" s="4" t="s">
        <v>3</v>
      </c>
      <c r="O180" s="4">
        <v>-1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208</v>
      </c>
      <c r="F181" s="4">
        <f>Source!V158</f>
        <v>24.538777499999998</v>
      </c>
      <c r="G181" s="4" t="s">
        <v>200</v>
      </c>
      <c r="H181" s="4" t="s">
        <v>201</v>
      </c>
      <c r="I181" s="4"/>
      <c r="J181" s="4"/>
      <c r="K181" s="4">
        <v>208</v>
      </c>
      <c r="L181" s="4">
        <v>22</v>
      </c>
      <c r="M181" s="4">
        <v>3</v>
      </c>
      <c r="N181" s="4" t="s">
        <v>3</v>
      </c>
      <c r="O181" s="4">
        <v>-1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209</v>
      </c>
      <c r="F182" s="4">
        <f>ROUND(Source!W158,O182)</f>
        <v>0</v>
      </c>
      <c r="G182" s="4" t="s">
        <v>202</v>
      </c>
      <c r="H182" s="4" t="s">
        <v>203</v>
      </c>
      <c r="I182" s="4"/>
      <c r="J182" s="4"/>
      <c r="K182" s="4">
        <v>209</v>
      </c>
      <c r="L182" s="4">
        <v>23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233</v>
      </c>
      <c r="F183" s="4">
        <f>ROUND(Source!BD158,O183)</f>
        <v>0</v>
      </c>
      <c r="G183" s="4" t="s">
        <v>204</v>
      </c>
      <c r="H183" s="4" t="s">
        <v>205</v>
      </c>
      <c r="I183" s="4"/>
      <c r="J183" s="4"/>
      <c r="K183" s="4">
        <v>233</v>
      </c>
      <c r="L183" s="4">
        <v>24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210</v>
      </c>
      <c r="F184" s="4">
        <f>ROUND(Source!X158,O184)</f>
        <v>919.75</v>
      </c>
      <c r="G184" s="4" t="s">
        <v>206</v>
      </c>
      <c r="H184" s="4" t="s">
        <v>207</v>
      </c>
      <c r="I184" s="4"/>
      <c r="J184" s="4"/>
      <c r="K184" s="4">
        <v>210</v>
      </c>
      <c r="L184" s="4">
        <v>25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211</v>
      </c>
      <c r="F185" s="4">
        <f>ROUND(Source!Y158,O185)</f>
        <v>521.14</v>
      </c>
      <c r="G185" s="4" t="s">
        <v>208</v>
      </c>
      <c r="H185" s="4" t="s">
        <v>209</v>
      </c>
      <c r="I185" s="4"/>
      <c r="J185" s="4"/>
      <c r="K185" s="4">
        <v>211</v>
      </c>
      <c r="L185" s="4">
        <v>26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224</v>
      </c>
      <c r="F186" s="4">
        <f>ROUND(Source!AR158,O186)</f>
        <v>29418.23</v>
      </c>
      <c r="G186" s="4" t="s">
        <v>210</v>
      </c>
      <c r="H186" s="4" t="s">
        <v>211</v>
      </c>
      <c r="I186" s="4"/>
      <c r="J186" s="4"/>
      <c r="K186" s="4">
        <v>224</v>
      </c>
      <c r="L186" s="4">
        <v>27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9" spans="1:23" x14ac:dyDescent="0.2">
      <c r="A189">
        <v>70</v>
      </c>
      <c r="B189">
        <v>1</v>
      </c>
      <c r="D189">
        <v>1</v>
      </c>
      <c r="E189" t="s">
        <v>218</v>
      </c>
      <c r="F189" t="s">
        <v>219</v>
      </c>
      <c r="G189">
        <v>0</v>
      </c>
      <c r="H189">
        <v>0</v>
      </c>
      <c r="I189" t="s">
        <v>3</v>
      </c>
      <c r="J189">
        <v>1</v>
      </c>
      <c r="K189">
        <v>0</v>
      </c>
      <c r="L189" t="s">
        <v>3</v>
      </c>
      <c r="M189" t="s">
        <v>3</v>
      </c>
      <c r="N189">
        <v>0</v>
      </c>
    </row>
    <row r="190" spans="1:23" x14ac:dyDescent="0.2">
      <c r="A190">
        <v>70</v>
      </c>
      <c r="B190">
        <v>1</v>
      </c>
      <c r="D190">
        <v>2</v>
      </c>
      <c r="E190" t="s">
        <v>220</v>
      </c>
      <c r="F190" t="s">
        <v>221</v>
      </c>
      <c r="G190">
        <v>0</v>
      </c>
      <c r="H190">
        <v>0</v>
      </c>
      <c r="I190" t="s">
        <v>3</v>
      </c>
      <c r="J190">
        <v>1</v>
      </c>
      <c r="K190">
        <v>0</v>
      </c>
      <c r="L190" t="s">
        <v>3</v>
      </c>
      <c r="M190" t="s">
        <v>3</v>
      </c>
      <c r="N190">
        <v>0</v>
      </c>
    </row>
    <row r="191" spans="1:23" x14ac:dyDescent="0.2">
      <c r="A191">
        <v>70</v>
      </c>
      <c r="B191">
        <v>1</v>
      </c>
      <c r="D191">
        <v>3</v>
      </c>
      <c r="E191" t="s">
        <v>222</v>
      </c>
      <c r="F191" t="s">
        <v>223</v>
      </c>
      <c r="G191">
        <v>1</v>
      </c>
      <c r="H191">
        <v>0</v>
      </c>
      <c r="I191" t="s">
        <v>3</v>
      </c>
      <c r="J191">
        <v>1</v>
      </c>
      <c r="K191">
        <v>0</v>
      </c>
      <c r="L191" t="s">
        <v>3</v>
      </c>
      <c r="M191" t="s">
        <v>3</v>
      </c>
      <c r="N191">
        <v>0</v>
      </c>
    </row>
    <row r="192" spans="1:23" x14ac:dyDescent="0.2">
      <c r="A192">
        <v>70</v>
      </c>
      <c r="B192">
        <v>1</v>
      </c>
      <c r="D192">
        <v>4</v>
      </c>
      <c r="E192" t="s">
        <v>224</v>
      </c>
      <c r="F192" t="s">
        <v>225</v>
      </c>
      <c r="G192">
        <v>0</v>
      </c>
      <c r="H192">
        <v>0</v>
      </c>
      <c r="I192" t="s">
        <v>226</v>
      </c>
      <c r="J192">
        <v>0</v>
      </c>
      <c r="K192">
        <v>0</v>
      </c>
      <c r="L192" t="s">
        <v>3</v>
      </c>
      <c r="M192" t="s">
        <v>3</v>
      </c>
      <c r="N192">
        <v>0</v>
      </c>
    </row>
    <row r="193" spans="1:14" x14ac:dyDescent="0.2">
      <c r="A193">
        <v>70</v>
      </c>
      <c r="B193">
        <v>1</v>
      </c>
      <c r="D193">
        <v>5</v>
      </c>
      <c r="E193" t="s">
        <v>227</v>
      </c>
      <c r="F193" t="s">
        <v>228</v>
      </c>
      <c r="G193">
        <v>0</v>
      </c>
      <c r="H193">
        <v>0</v>
      </c>
      <c r="I193" t="s">
        <v>229</v>
      </c>
      <c r="J193">
        <v>0</v>
      </c>
      <c r="K193">
        <v>0</v>
      </c>
      <c r="L193" t="s">
        <v>3</v>
      </c>
      <c r="M193" t="s">
        <v>3</v>
      </c>
      <c r="N193">
        <v>0</v>
      </c>
    </row>
    <row r="194" spans="1:14" x14ac:dyDescent="0.2">
      <c r="A194">
        <v>70</v>
      </c>
      <c r="B194">
        <v>1</v>
      </c>
      <c r="D194">
        <v>6</v>
      </c>
      <c r="E194" t="s">
        <v>230</v>
      </c>
      <c r="F194" t="s">
        <v>231</v>
      </c>
      <c r="G194">
        <v>0</v>
      </c>
      <c r="H194">
        <v>0</v>
      </c>
      <c r="I194" t="s">
        <v>232</v>
      </c>
      <c r="J194">
        <v>0</v>
      </c>
      <c r="K194">
        <v>0</v>
      </c>
      <c r="L194" t="s">
        <v>3</v>
      </c>
      <c r="M194" t="s">
        <v>3</v>
      </c>
      <c r="N194">
        <v>0</v>
      </c>
    </row>
    <row r="195" spans="1:14" x14ac:dyDescent="0.2">
      <c r="A195">
        <v>70</v>
      </c>
      <c r="B195">
        <v>1</v>
      </c>
      <c r="D195">
        <v>7</v>
      </c>
      <c r="E195" t="s">
        <v>233</v>
      </c>
      <c r="F195" t="s">
        <v>234</v>
      </c>
      <c r="G195">
        <v>0</v>
      </c>
      <c r="H195">
        <v>0</v>
      </c>
      <c r="I195" t="s">
        <v>3</v>
      </c>
      <c r="J195">
        <v>0</v>
      </c>
      <c r="K195">
        <v>0</v>
      </c>
      <c r="L195" t="s">
        <v>3</v>
      </c>
      <c r="M195" t="s">
        <v>3</v>
      </c>
      <c r="N195">
        <v>0</v>
      </c>
    </row>
    <row r="196" spans="1:14" x14ac:dyDescent="0.2">
      <c r="A196">
        <v>70</v>
      </c>
      <c r="B196">
        <v>1</v>
      </c>
      <c r="D196">
        <v>8</v>
      </c>
      <c r="E196" t="s">
        <v>235</v>
      </c>
      <c r="F196" t="s">
        <v>236</v>
      </c>
      <c r="G196">
        <v>0</v>
      </c>
      <c r="H196">
        <v>0</v>
      </c>
      <c r="I196" t="s">
        <v>237</v>
      </c>
      <c r="J196">
        <v>0</v>
      </c>
      <c r="K196">
        <v>0</v>
      </c>
      <c r="L196" t="s">
        <v>3</v>
      </c>
      <c r="M196" t="s">
        <v>3</v>
      </c>
      <c r="N196">
        <v>0</v>
      </c>
    </row>
    <row r="197" spans="1:14" x14ac:dyDescent="0.2">
      <c r="A197">
        <v>70</v>
      </c>
      <c r="B197">
        <v>1</v>
      </c>
      <c r="D197">
        <v>9</v>
      </c>
      <c r="E197" t="s">
        <v>238</v>
      </c>
      <c r="F197" t="s">
        <v>239</v>
      </c>
      <c r="G197">
        <v>0</v>
      </c>
      <c r="H197">
        <v>0</v>
      </c>
      <c r="I197" t="s">
        <v>240</v>
      </c>
      <c r="J197">
        <v>0</v>
      </c>
      <c r="K197">
        <v>0</v>
      </c>
      <c r="L197" t="s">
        <v>3</v>
      </c>
      <c r="M197" t="s">
        <v>3</v>
      </c>
      <c r="N197">
        <v>0</v>
      </c>
    </row>
    <row r="198" spans="1:14" x14ac:dyDescent="0.2">
      <c r="A198">
        <v>70</v>
      </c>
      <c r="B198">
        <v>1</v>
      </c>
      <c r="D198">
        <v>10</v>
      </c>
      <c r="E198" t="s">
        <v>241</v>
      </c>
      <c r="F198" t="s">
        <v>242</v>
      </c>
      <c r="G198">
        <v>0</v>
      </c>
      <c r="H198">
        <v>0</v>
      </c>
      <c r="I198" t="s">
        <v>243</v>
      </c>
      <c r="J198">
        <v>0</v>
      </c>
      <c r="K198">
        <v>0</v>
      </c>
      <c r="L198" t="s">
        <v>3</v>
      </c>
      <c r="M198" t="s">
        <v>3</v>
      </c>
      <c r="N198">
        <v>0</v>
      </c>
    </row>
    <row r="199" spans="1:14" x14ac:dyDescent="0.2">
      <c r="A199">
        <v>70</v>
      </c>
      <c r="B199">
        <v>1</v>
      </c>
      <c r="D199">
        <v>11</v>
      </c>
      <c r="E199" t="s">
        <v>244</v>
      </c>
      <c r="F199" t="s">
        <v>245</v>
      </c>
      <c r="G199">
        <v>0</v>
      </c>
      <c r="H199">
        <v>0</v>
      </c>
      <c r="I199" t="s">
        <v>246</v>
      </c>
      <c r="J199">
        <v>0</v>
      </c>
      <c r="K199">
        <v>0</v>
      </c>
      <c r="L199" t="s">
        <v>3</v>
      </c>
      <c r="M199" t="s">
        <v>3</v>
      </c>
      <c r="N199">
        <v>0</v>
      </c>
    </row>
    <row r="200" spans="1:14" x14ac:dyDescent="0.2">
      <c r="A200">
        <v>70</v>
      </c>
      <c r="B200">
        <v>1</v>
      </c>
      <c r="D200">
        <v>12</v>
      </c>
      <c r="E200" t="s">
        <v>247</v>
      </c>
      <c r="F200" t="s">
        <v>248</v>
      </c>
      <c r="G200">
        <v>0</v>
      </c>
      <c r="H200">
        <v>0</v>
      </c>
      <c r="I200" t="s">
        <v>3</v>
      </c>
      <c r="J200">
        <v>0</v>
      </c>
      <c r="K200">
        <v>0</v>
      </c>
      <c r="L200" t="s">
        <v>3</v>
      </c>
      <c r="M200" t="s">
        <v>3</v>
      </c>
      <c r="N200">
        <v>0</v>
      </c>
    </row>
    <row r="201" spans="1:14" x14ac:dyDescent="0.2">
      <c r="A201">
        <v>70</v>
      </c>
      <c r="B201">
        <v>1</v>
      </c>
      <c r="D201">
        <v>1</v>
      </c>
      <c r="E201" t="s">
        <v>249</v>
      </c>
      <c r="F201" t="s">
        <v>250</v>
      </c>
      <c r="G201">
        <v>0.9</v>
      </c>
      <c r="H201">
        <v>1</v>
      </c>
      <c r="I201" t="s">
        <v>251</v>
      </c>
      <c r="J201">
        <v>0</v>
      </c>
      <c r="K201">
        <v>0</v>
      </c>
      <c r="L201" t="s">
        <v>3</v>
      </c>
      <c r="M201" t="s">
        <v>3</v>
      </c>
      <c r="N201">
        <v>0</v>
      </c>
    </row>
    <row r="202" spans="1:14" x14ac:dyDescent="0.2">
      <c r="A202">
        <v>70</v>
      </c>
      <c r="B202">
        <v>1</v>
      </c>
      <c r="D202">
        <v>2</v>
      </c>
      <c r="E202" t="s">
        <v>252</v>
      </c>
      <c r="F202" t="s">
        <v>253</v>
      </c>
      <c r="G202">
        <v>0.85</v>
      </c>
      <c r="H202">
        <v>1</v>
      </c>
      <c r="I202" t="s">
        <v>254</v>
      </c>
      <c r="J202">
        <v>0</v>
      </c>
      <c r="K202">
        <v>0</v>
      </c>
      <c r="L202" t="s">
        <v>3</v>
      </c>
      <c r="M202" t="s">
        <v>3</v>
      </c>
      <c r="N202">
        <v>0</v>
      </c>
    </row>
    <row r="203" spans="1:14" x14ac:dyDescent="0.2">
      <c r="A203">
        <v>70</v>
      </c>
      <c r="B203">
        <v>1</v>
      </c>
      <c r="D203">
        <v>3</v>
      </c>
      <c r="E203" t="s">
        <v>255</v>
      </c>
      <c r="F203" t="s">
        <v>256</v>
      </c>
      <c r="G203">
        <v>1</v>
      </c>
      <c r="H203">
        <v>0.85</v>
      </c>
      <c r="I203" t="s">
        <v>257</v>
      </c>
      <c r="J203">
        <v>0</v>
      </c>
      <c r="K203">
        <v>0</v>
      </c>
      <c r="L203" t="s">
        <v>3</v>
      </c>
      <c r="M203" t="s">
        <v>3</v>
      </c>
      <c r="N203">
        <v>0</v>
      </c>
    </row>
    <row r="204" spans="1:14" x14ac:dyDescent="0.2">
      <c r="A204">
        <v>70</v>
      </c>
      <c r="B204">
        <v>1</v>
      </c>
      <c r="D204">
        <v>4</v>
      </c>
      <c r="E204" t="s">
        <v>258</v>
      </c>
      <c r="F204" t="s">
        <v>259</v>
      </c>
      <c r="G204">
        <v>1</v>
      </c>
      <c r="H204">
        <v>0</v>
      </c>
      <c r="I204" t="s">
        <v>3</v>
      </c>
      <c r="J204">
        <v>0</v>
      </c>
      <c r="K204">
        <v>0</v>
      </c>
      <c r="L204" t="s">
        <v>3</v>
      </c>
      <c r="M204" t="s">
        <v>3</v>
      </c>
      <c r="N204">
        <v>0</v>
      </c>
    </row>
    <row r="205" spans="1:14" x14ac:dyDescent="0.2">
      <c r="A205">
        <v>70</v>
      </c>
      <c r="B205">
        <v>1</v>
      </c>
      <c r="D205">
        <v>5</v>
      </c>
      <c r="E205" t="s">
        <v>260</v>
      </c>
      <c r="F205" t="s">
        <v>261</v>
      </c>
      <c r="G205">
        <v>1</v>
      </c>
      <c r="H205">
        <v>0.8</v>
      </c>
      <c r="I205" t="s">
        <v>262</v>
      </c>
      <c r="J205">
        <v>0</v>
      </c>
      <c r="K205">
        <v>0</v>
      </c>
      <c r="L205" t="s">
        <v>3</v>
      </c>
      <c r="M205" t="s">
        <v>3</v>
      </c>
      <c r="N205">
        <v>0</v>
      </c>
    </row>
    <row r="206" spans="1:14" x14ac:dyDescent="0.2">
      <c r="A206">
        <v>70</v>
      </c>
      <c r="B206">
        <v>1</v>
      </c>
      <c r="D206">
        <v>6</v>
      </c>
      <c r="E206" t="s">
        <v>263</v>
      </c>
      <c r="F206" t="s">
        <v>264</v>
      </c>
      <c r="G206">
        <v>1</v>
      </c>
      <c r="H206">
        <v>0</v>
      </c>
      <c r="I206" t="s">
        <v>3</v>
      </c>
      <c r="J206">
        <v>0</v>
      </c>
      <c r="K206">
        <v>0</v>
      </c>
      <c r="L206" t="s">
        <v>3</v>
      </c>
      <c r="M206" t="s">
        <v>3</v>
      </c>
      <c r="N206">
        <v>0</v>
      </c>
    </row>
    <row r="207" spans="1:14" x14ac:dyDescent="0.2">
      <c r="A207">
        <v>70</v>
      </c>
      <c r="B207">
        <v>1</v>
      </c>
      <c r="D207">
        <v>7</v>
      </c>
      <c r="E207" t="s">
        <v>265</v>
      </c>
      <c r="F207" t="s">
        <v>266</v>
      </c>
      <c r="G207">
        <v>1</v>
      </c>
      <c r="H207">
        <v>0</v>
      </c>
      <c r="I207" t="s">
        <v>3</v>
      </c>
      <c r="J207">
        <v>0</v>
      </c>
      <c r="K207">
        <v>0</v>
      </c>
      <c r="L207" t="s">
        <v>3</v>
      </c>
      <c r="M207" t="s">
        <v>3</v>
      </c>
      <c r="N207">
        <v>0</v>
      </c>
    </row>
    <row r="208" spans="1:14" x14ac:dyDescent="0.2">
      <c r="A208">
        <v>70</v>
      </c>
      <c r="B208">
        <v>1</v>
      </c>
      <c r="D208">
        <v>8</v>
      </c>
      <c r="E208" t="s">
        <v>267</v>
      </c>
      <c r="F208" t="s">
        <v>268</v>
      </c>
      <c r="G208">
        <v>0.7</v>
      </c>
      <c r="H208">
        <v>0</v>
      </c>
      <c r="I208" t="s">
        <v>3</v>
      </c>
      <c r="J208">
        <v>0</v>
      </c>
      <c r="K208">
        <v>0</v>
      </c>
      <c r="L208" t="s">
        <v>3</v>
      </c>
      <c r="M208" t="s">
        <v>3</v>
      </c>
      <c r="N208">
        <v>0</v>
      </c>
    </row>
    <row r="209" spans="1:15" x14ac:dyDescent="0.2">
      <c r="A209">
        <v>70</v>
      </c>
      <c r="B209">
        <v>1</v>
      </c>
      <c r="D209">
        <v>9</v>
      </c>
      <c r="E209" t="s">
        <v>269</v>
      </c>
      <c r="F209" t="s">
        <v>270</v>
      </c>
      <c r="G209">
        <v>0.9</v>
      </c>
      <c r="H209">
        <v>0</v>
      </c>
      <c r="I209" t="s">
        <v>3</v>
      </c>
      <c r="J209">
        <v>0</v>
      </c>
      <c r="K209">
        <v>0</v>
      </c>
      <c r="L209" t="s">
        <v>3</v>
      </c>
      <c r="M209" t="s">
        <v>3</v>
      </c>
      <c r="N209">
        <v>0</v>
      </c>
    </row>
    <row r="210" spans="1:15" x14ac:dyDescent="0.2">
      <c r="A210">
        <v>70</v>
      </c>
      <c r="B210">
        <v>1</v>
      </c>
      <c r="D210">
        <v>10</v>
      </c>
      <c r="E210" t="s">
        <v>271</v>
      </c>
      <c r="F210" t="s">
        <v>272</v>
      </c>
      <c r="G210">
        <v>0.6</v>
      </c>
      <c r="H210">
        <v>0</v>
      </c>
      <c r="I210" t="s">
        <v>3</v>
      </c>
      <c r="J210">
        <v>0</v>
      </c>
      <c r="K210">
        <v>0</v>
      </c>
      <c r="L210" t="s">
        <v>3</v>
      </c>
      <c r="M210" t="s">
        <v>3</v>
      </c>
      <c r="N210">
        <v>0</v>
      </c>
    </row>
    <row r="211" spans="1:15" x14ac:dyDescent="0.2">
      <c r="A211">
        <v>70</v>
      </c>
      <c r="B211">
        <v>1</v>
      </c>
      <c r="D211">
        <v>11</v>
      </c>
      <c r="E211" t="s">
        <v>273</v>
      </c>
      <c r="F211" t="s">
        <v>274</v>
      </c>
      <c r="G211">
        <v>1.2</v>
      </c>
      <c r="H211">
        <v>0</v>
      </c>
      <c r="I211" t="s">
        <v>3</v>
      </c>
      <c r="J211">
        <v>0</v>
      </c>
      <c r="K211">
        <v>0</v>
      </c>
      <c r="L211" t="s">
        <v>3</v>
      </c>
      <c r="M211" t="s">
        <v>3</v>
      </c>
      <c r="N211">
        <v>0</v>
      </c>
    </row>
    <row r="212" spans="1:15" x14ac:dyDescent="0.2">
      <c r="A212">
        <v>70</v>
      </c>
      <c r="B212">
        <v>1</v>
      </c>
      <c r="D212">
        <v>12</v>
      </c>
      <c r="E212" t="s">
        <v>275</v>
      </c>
      <c r="F212" t="s">
        <v>276</v>
      </c>
      <c r="G212">
        <v>0</v>
      </c>
      <c r="H212">
        <v>0</v>
      </c>
      <c r="I212" t="s">
        <v>3</v>
      </c>
      <c r="J212">
        <v>0</v>
      </c>
      <c r="K212">
        <v>0</v>
      </c>
      <c r="L212" t="s">
        <v>3</v>
      </c>
      <c r="M212" t="s">
        <v>3</v>
      </c>
      <c r="N212">
        <v>0</v>
      </c>
    </row>
    <row r="213" spans="1:15" x14ac:dyDescent="0.2">
      <c r="A213">
        <v>70</v>
      </c>
      <c r="B213">
        <v>1</v>
      </c>
      <c r="D213">
        <v>13</v>
      </c>
      <c r="E213" t="s">
        <v>277</v>
      </c>
      <c r="F213" t="s">
        <v>278</v>
      </c>
      <c r="G213">
        <v>1</v>
      </c>
      <c r="H213">
        <v>0</v>
      </c>
      <c r="I213" t="s">
        <v>3</v>
      </c>
      <c r="J213">
        <v>0</v>
      </c>
      <c r="K213">
        <v>0</v>
      </c>
      <c r="L213" t="s">
        <v>3</v>
      </c>
      <c r="M213" t="s">
        <v>3</v>
      </c>
      <c r="N213">
        <v>0</v>
      </c>
    </row>
    <row r="215" spans="1:15" x14ac:dyDescent="0.2">
      <c r="A215">
        <v>-1</v>
      </c>
    </row>
    <row r="217" spans="1:15" x14ac:dyDescent="0.2">
      <c r="A217" s="3">
        <v>75</v>
      </c>
      <c r="B217" s="3" t="s">
        <v>279</v>
      </c>
      <c r="C217" s="3">
        <v>0</v>
      </c>
      <c r="D217" s="3">
        <v>0</v>
      </c>
      <c r="E217" s="3">
        <v>0</v>
      </c>
      <c r="F217" s="3">
        <v>1</v>
      </c>
      <c r="G217" s="3">
        <v>0</v>
      </c>
      <c r="H217" s="3">
        <v>1</v>
      </c>
      <c r="I217" s="3">
        <v>0</v>
      </c>
      <c r="J217" s="3">
        <v>3</v>
      </c>
      <c r="K217" s="3">
        <v>0</v>
      </c>
      <c r="L217" s="3">
        <v>0</v>
      </c>
      <c r="M217" s="3">
        <v>0</v>
      </c>
      <c r="N217" s="3">
        <v>52156631</v>
      </c>
      <c r="O217" s="3">
        <v>1</v>
      </c>
    </row>
    <row r="221" spans="1:15" x14ac:dyDescent="0.2">
      <c r="A221">
        <v>65</v>
      </c>
      <c r="C221">
        <v>1</v>
      </c>
      <c r="D221">
        <v>0</v>
      </c>
      <c r="E22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280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2</v>
      </c>
      <c r="P1">
        <v>0</v>
      </c>
      <c r="Q1">
        <v>1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52156631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10</v>
      </c>
      <c r="D16" s="5" t="s">
        <v>10</v>
      </c>
      <c r="E16" s="6">
        <f>(Source!F142)/1000</f>
        <v>26.813770000000002</v>
      </c>
      <c r="F16" s="6">
        <f>(Source!F143)/1000</f>
        <v>2.60446</v>
      </c>
      <c r="G16" s="6">
        <f>(Source!F134)/1000</f>
        <v>0</v>
      </c>
      <c r="H16" s="6">
        <f>(Source!F144)/1000+(Source!F145)/1000</f>
        <v>0</v>
      </c>
      <c r="I16" s="6">
        <f>E16+F16+G16+H16</f>
        <v>29.418230000000001</v>
      </c>
      <c r="J16" s="6">
        <f>(Source!F140)/1000</f>
        <v>0.61558000000000002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27977.34</v>
      </c>
      <c r="AU16" s="6">
        <v>24236.6</v>
      </c>
      <c r="AV16" s="6">
        <v>0</v>
      </c>
      <c r="AW16" s="6">
        <v>0</v>
      </c>
      <c r="AX16" s="6">
        <v>0</v>
      </c>
      <c r="AY16" s="6">
        <v>3125.16</v>
      </c>
      <c r="AZ16" s="6">
        <v>297.93</v>
      </c>
      <c r="BA16" s="6">
        <v>615.58000000000004</v>
      </c>
      <c r="BB16" s="6">
        <v>26813.77</v>
      </c>
      <c r="BC16" s="6">
        <v>2604.46</v>
      </c>
      <c r="BD16" s="6">
        <v>0</v>
      </c>
      <c r="BE16" s="6">
        <v>0</v>
      </c>
      <c r="BF16" s="6">
        <v>80.954265100000001</v>
      </c>
      <c r="BG16" s="6">
        <v>24.538777500000002</v>
      </c>
      <c r="BH16" s="6">
        <v>0</v>
      </c>
      <c r="BI16" s="6">
        <v>919.75</v>
      </c>
      <c r="BJ16" s="6">
        <v>521.14</v>
      </c>
      <c r="BK16" s="6">
        <v>29418.23</v>
      </c>
    </row>
    <row r="18" spans="1:19" x14ac:dyDescent="0.2">
      <c r="A18">
        <v>51</v>
      </c>
      <c r="E18" s="7">
        <f>SUMIF(A16:A17,3,E16:E17)</f>
        <v>26.813770000000002</v>
      </c>
      <c r="F18" s="7">
        <f>SUMIF(A16:A17,3,F16:F17)</f>
        <v>2.60446</v>
      </c>
      <c r="G18" s="7">
        <f>SUMIF(A16:A17,3,G16:G17)</f>
        <v>0</v>
      </c>
      <c r="H18" s="7">
        <f>SUMIF(A16:A17,3,H16:H17)</f>
        <v>0</v>
      </c>
      <c r="I18" s="7">
        <f>SUMIF(A16:A17,3,I16:I17)</f>
        <v>29.418230000000001</v>
      </c>
      <c r="J18" s="7">
        <f>SUMIF(A16:A17,3,J16:J17)</f>
        <v>0.61558000000000002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27977.34</v>
      </c>
      <c r="G20" s="4" t="s">
        <v>158</v>
      </c>
      <c r="H20" s="4" t="s">
        <v>159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24236.6</v>
      </c>
      <c r="G21" s="4" t="s">
        <v>160</v>
      </c>
      <c r="H21" s="4" t="s">
        <v>161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162</v>
      </c>
      <c r="H22" s="4" t="s">
        <v>163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24236.6</v>
      </c>
      <c r="G23" s="4" t="s">
        <v>164</v>
      </c>
      <c r="H23" s="4" t="s">
        <v>165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24236.6</v>
      </c>
      <c r="G24" s="4" t="s">
        <v>166</v>
      </c>
      <c r="H24" s="4" t="s">
        <v>167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168</v>
      </c>
      <c r="H25" s="4" t="s">
        <v>169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24236.6</v>
      </c>
      <c r="G26" s="4" t="s">
        <v>170</v>
      </c>
      <c r="H26" s="4" t="s">
        <v>171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172</v>
      </c>
      <c r="H27" s="4" t="s">
        <v>173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174</v>
      </c>
      <c r="H28" s="4" t="s">
        <v>175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176</v>
      </c>
      <c r="H29" s="4" t="s">
        <v>177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3125.16</v>
      </c>
      <c r="G30" s="4" t="s">
        <v>178</v>
      </c>
      <c r="H30" s="4" t="s">
        <v>179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180</v>
      </c>
      <c r="H31" s="4" t="s">
        <v>181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297.93</v>
      </c>
      <c r="G32" s="4" t="s">
        <v>182</v>
      </c>
      <c r="H32" s="4" t="s">
        <v>183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615.58000000000004</v>
      </c>
      <c r="G33" s="4" t="s">
        <v>184</v>
      </c>
      <c r="H33" s="4" t="s">
        <v>185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186</v>
      </c>
      <c r="H34" s="4" t="s">
        <v>187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26813.77</v>
      </c>
      <c r="G35" s="4" t="s">
        <v>188</v>
      </c>
      <c r="H35" s="4" t="s">
        <v>189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2604.46</v>
      </c>
      <c r="G36" s="4" t="s">
        <v>190</v>
      </c>
      <c r="H36" s="4" t="s">
        <v>191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192</v>
      </c>
      <c r="H37" s="4" t="s">
        <v>193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194</v>
      </c>
      <c r="H38" s="4" t="s">
        <v>195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196</v>
      </c>
      <c r="H39" s="4" t="s">
        <v>197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80.954265100000001</v>
      </c>
      <c r="G40" s="4" t="s">
        <v>198</v>
      </c>
      <c r="H40" s="4" t="s">
        <v>199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24.538777500000002</v>
      </c>
      <c r="G41" s="4" t="s">
        <v>200</v>
      </c>
      <c r="H41" s="4" t="s">
        <v>201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202</v>
      </c>
      <c r="H42" s="4" t="s">
        <v>203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204</v>
      </c>
      <c r="H43" s="4" t="s">
        <v>205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919.75</v>
      </c>
      <c r="G44" s="4" t="s">
        <v>206</v>
      </c>
      <c r="H44" s="4" t="s">
        <v>207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521.14</v>
      </c>
      <c r="G45" s="4" t="s">
        <v>208</v>
      </c>
      <c r="H45" s="4" t="s">
        <v>209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29418.23</v>
      </c>
      <c r="G46" s="4" t="s">
        <v>210</v>
      </c>
      <c r="H46" s="4" t="s">
        <v>211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279</v>
      </c>
      <c r="C51" s="3">
        <v>0</v>
      </c>
      <c r="D51" s="3">
        <v>0</v>
      </c>
      <c r="E51" s="3">
        <v>0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52156631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C8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ROW(Source!A32)</f>
        <v>32</v>
      </c>
      <c r="B1">
        <v>52156631</v>
      </c>
      <c r="C1">
        <v>52156933</v>
      </c>
      <c r="D1">
        <v>45976891</v>
      </c>
      <c r="E1">
        <v>1</v>
      </c>
      <c r="F1">
        <v>1</v>
      </c>
      <c r="G1">
        <v>1</v>
      </c>
      <c r="H1">
        <v>1</v>
      </c>
      <c r="I1" t="s">
        <v>281</v>
      </c>
      <c r="J1" t="s">
        <v>3</v>
      </c>
      <c r="K1" t="s">
        <v>282</v>
      </c>
      <c r="L1">
        <v>1476</v>
      </c>
      <c r="N1">
        <v>1013</v>
      </c>
      <c r="O1" t="s">
        <v>283</v>
      </c>
      <c r="P1" t="s">
        <v>284</v>
      </c>
      <c r="Q1">
        <v>1</v>
      </c>
      <c r="W1">
        <v>0</v>
      </c>
      <c r="X1">
        <v>-295123421</v>
      </c>
      <c r="Y1">
        <v>0.50600000000000001</v>
      </c>
      <c r="AA1">
        <v>0</v>
      </c>
      <c r="AB1">
        <v>0</v>
      </c>
      <c r="AC1">
        <v>0</v>
      </c>
      <c r="AD1">
        <v>6.65</v>
      </c>
      <c r="AE1">
        <v>0</v>
      </c>
      <c r="AF1">
        <v>0</v>
      </c>
      <c r="AG1">
        <v>0</v>
      </c>
      <c r="AH1">
        <v>6.65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0.44</v>
      </c>
      <c r="AU1" t="s">
        <v>12</v>
      </c>
      <c r="AV1">
        <v>1</v>
      </c>
      <c r="AW1">
        <v>2</v>
      </c>
      <c r="AX1">
        <v>52156939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Y1*Source!I32</f>
        <v>2.5300000000000002</v>
      </c>
      <c r="CY1">
        <f>AD1</f>
        <v>6.65</v>
      </c>
      <c r="CZ1">
        <f>AH1</f>
        <v>6.65</v>
      </c>
      <c r="DA1">
        <f>AL1</f>
        <v>1</v>
      </c>
      <c r="DB1">
        <f>ROUND((ROUND(AT1*CZ1,2)*1.15),2)</f>
        <v>3.37</v>
      </c>
      <c r="DC1">
        <f>ROUND((ROUND(AT1*AG1,2)*1.15),2)</f>
        <v>0</v>
      </c>
    </row>
    <row r="2" spans="1:107" x14ac:dyDescent="0.2">
      <c r="A2">
        <f>ROW(Source!A32)</f>
        <v>32</v>
      </c>
      <c r="B2">
        <v>52156631</v>
      </c>
      <c r="C2">
        <v>52156933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285</v>
      </c>
      <c r="L2">
        <v>608254</v>
      </c>
      <c r="N2">
        <v>1013</v>
      </c>
      <c r="O2" t="s">
        <v>286</v>
      </c>
      <c r="P2" t="s">
        <v>286</v>
      </c>
      <c r="Q2">
        <v>1</v>
      </c>
      <c r="W2">
        <v>0</v>
      </c>
      <c r="X2">
        <v>-185737400</v>
      </c>
      <c r="Y2">
        <v>0.6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0.48</v>
      </c>
      <c r="AU2" t="s">
        <v>11</v>
      </c>
      <c r="AV2">
        <v>2</v>
      </c>
      <c r="AW2">
        <v>2</v>
      </c>
      <c r="AX2">
        <v>52156940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Y2*Source!I32</f>
        <v>3</v>
      </c>
      <c r="CY2">
        <f>AD2</f>
        <v>0</v>
      </c>
      <c r="CZ2">
        <f>AH2</f>
        <v>0</v>
      </c>
      <c r="DA2">
        <f>AL2</f>
        <v>1</v>
      </c>
      <c r="DB2">
        <f>ROUND((ROUND(AT2*CZ2,2)*1.25),2)</f>
        <v>0</v>
      </c>
      <c r="DC2">
        <f>ROUND((ROUND(AT2*AG2,2)*1.25),2)</f>
        <v>0</v>
      </c>
    </row>
    <row r="3" spans="1:107" x14ac:dyDescent="0.2">
      <c r="A3">
        <f>ROW(Source!A32)</f>
        <v>32</v>
      </c>
      <c r="B3">
        <v>52156631</v>
      </c>
      <c r="C3">
        <v>52156933</v>
      </c>
      <c r="D3">
        <v>45811233</v>
      </c>
      <c r="E3">
        <v>1</v>
      </c>
      <c r="F3">
        <v>1</v>
      </c>
      <c r="G3">
        <v>1</v>
      </c>
      <c r="H3">
        <v>2</v>
      </c>
      <c r="I3" t="s">
        <v>287</v>
      </c>
      <c r="J3" t="s">
        <v>288</v>
      </c>
      <c r="K3" t="s">
        <v>289</v>
      </c>
      <c r="L3">
        <v>45811227</v>
      </c>
      <c r="N3">
        <v>1013</v>
      </c>
      <c r="O3" t="s">
        <v>290</v>
      </c>
      <c r="P3" t="s">
        <v>290</v>
      </c>
      <c r="Q3">
        <v>1</v>
      </c>
      <c r="W3">
        <v>0</v>
      </c>
      <c r="X3">
        <v>-1385423639</v>
      </c>
      <c r="Y3">
        <v>0.3</v>
      </c>
      <c r="AA3">
        <v>0</v>
      </c>
      <c r="AB3">
        <v>4.01</v>
      </c>
      <c r="AC3">
        <v>0</v>
      </c>
      <c r="AD3">
        <v>0</v>
      </c>
      <c r="AE3">
        <v>0</v>
      </c>
      <c r="AF3">
        <v>4.01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0.24</v>
      </c>
      <c r="AU3" t="s">
        <v>11</v>
      </c>
      <c r="AV3">
        <v>0</v>
      </c>
      <c r="AW3">
        <v>2</v>
      </c>
      <c r="AX3">
        <v>52156941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Y3*Source!I32</f>
        <v>1.5</v>
      </c>
      <c r="CY3">
        <f>AB3</f>
        <v>4.01</v>
      </c>
      <c r="CZ3">
        <f>AF3</f>
        <v>4.01</v>
      </c>
      <c r="DA3">
        <f>AJ3</f>
        <v>1</v>
      </c>
      <c r="DB3">
        <f>ROUND((ROUND(AT3*CZ3,2)*1.25),2)</f>
        <v>1.2</v>
      </c>
      <c r="DC3">
        <f>ROUND((ROUND(AT3*AG3,2)*1.25),2)</f>
        <v>0</v>
      </c>
    </row>
    <row r="4" spans="1:107" x14ac:dyDescent="0.2">
      <c r="A4">
        <f>ROW(Source!A32)</f>
        <v>32</v>
      </c>
      <c r="B4">
        <v>52156631</v>
      </c>
      <c r="C4">
        <v>52156933</v>
      </c>
      <c r="D4">
        <v>45811258</v>
      </c>
      <c r="E4">
        <v>1</v>
      </c>
      <c r="F4">
        <v>1</v>
      </c>
      <c r="G4">
        <v>1</v>
      </c>
      <c r="H4">
        <v>2</v>
      </c>
      <c r="I4" t="s">
        <v>291</v>
      </c>
      <c r="J4" t="s">
        <v>292</v>
      </c>
      <c r="K4" t="s">
        <v>293</v>
      </c>
      <c r="L4">
        <v>45811227</v>
      </c>
      <c r="N4">
        <v>1013</v>
      </c>
      <c r="O4" t="s">
        <v>290</v>
      </c>
      <c r="P4" t="s">
        <v>290</v>
      </c>
      <c r="Q4">
        <v>1</v>
      </c>
      <c r="W4">
        <v>0</v>
      </c>
      <c r="X4">
        <v>263487835</v>
      </c>
      <c r="Y4">
        <v>0.3</v>
      </c>
      <c r="AA4">
        <v>0</v>
      </c>
      <c r="AB4">
        <v>74.37</v>
      </c>
      <c r="AC4">
        <v>13.26</v>
      </c>
      <c r="AD4">
        <v>0</v>
      </c>
      <c r="AE4">
        <v>0</v>
      </c>
      <c r="AF4">
        <v>74.37</v>
      </c>
      <c r="AG4">
        <v>13.26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0.24</v>
      </c>
      <c r="AU4" t="s">
        <v>11</v>
      </c>
      <c r="AV4">
        <v>0</v>
      </c>
      <c r="AW4">
        <v>2</v>
      </c>
      <c r="AX4">
        <v>52156942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Y4*Source!I32</f>
        <v>1.5</v>
      </c>
      <c r="CY4">
        <f>AB4</f>
        <v>74.37</v>
      </c>
      <c r="CZ4">
        <f>AF4</f>
        <v>74.37</v>
      </c>
      <c r="DA4">
        <f>AJ4</f>
        <v>1</v>
      </c>
      <c r="DB4">
        <f>ROUND((ROUND(AT4*CZ4,2)*1.25),2)</f>
        <v>22.31</v>
      </c>
      <c r="DC4">
        <f>ROUND((ROUND(AT4*AG4,2)*1.25),2)</f>
        <v>3.98</v>
      </c>
    </row>
    <row r="5" spans="1:107" x14ac:dyDescent="0.2">
      <c r="A5">
        <f>ROW(Source!A32)</f>
        <v>32</v>
      </c>
      <c r="B5">
        <v>52156631</v>
      </c>
      <c r="C5">
        <v>52156933</v>
      </c>
      <c r="D5">
        <v>45811353</v>
      </c>
      <c r="E5">
        <v>1</v>
      </c>
      <c r="F5">
        <v>1</v>
      </c>
      <c r="G5">
        <v>1</v>
      </c>
      <c r="H5">
        <v>2</v>
      </c>
      <c r="I5" t="s">
        <v>294</v>
      </c>
      <c r="J5" t="s">
        <v>295</v>
      </c>
      <c r="K5" t="s">
        <v>296</v>
      </c>
      <c r="L5">
        <v>45811227</v>
      </c>
      <c r="N5">
        <v>1013</v>
      </c>
      <c r="O5" t="s">
        <v>290</v>
      </c>
      <c r="P5" t="s">
        <v>290</v>
      </c>
      <c r="Q5">
        <v>1</v>
      </c>
      <c r="W5">
        <v>0</v>
      </c>
      <c r="X5">
        <v>642700064</v>
      </c>
      <c r="Y5">
        <v>0.3</v>
      </c>
      <c r="AA5">
        <v>0</v>
      </c>
      <c r="AB5">
        <v>111.75</v>
      </c>
      <c r="AC5">
        <v>13.26</v>
      </c>
      <c r="AD5">
        <v>0</v>
      </c>
      <c r="AE5">
        <v>0</v>
      </c>
      <c r="AF5">
        <v>111.75</v>
      </c>
      <c r="AG5">
        <v>13.26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0.24</v>
      </c>
      <c r="AU5" t="s">
        <v>11</v>
      </c>
      <c r="AV5">
        <v>0</v>
      </c>
      <c r="AW5">
        <v>2</v>
      </c>
      <c r="AX5">
        <v>52156943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1.5</v>
      </c>
      <c r="CY5">
        <f>AB5</f>
        <v>111.75</v>
      </c>
      <c r="CZ5">
        <f>AF5</f>
        <v>111.75</v>
      </c>
      <c r="DA5">
        <f>AJ5</f>
        <v>1</v>
      </c>
      <c r="DB5">
        <f>ROUND((ROUND(AT5*CZ5,2)*1.25),2)</f>
        <v>33.53</v>
      </c>
      <c r="DC5">
        <f>ROUND((ROUND(AT5*AG5,2)*1.25),2)</f>
        <v>3.98</v>
      </c>
    </row>
    <row r="6" spans="1:107" x14ac:dyDescent="0.2">
      <c r="A6">
        <f>ROW(Source!A33)</f>
        <v>33</v>
      </c>
      <c r="B6">
        <v>52156631</v>
      </c>
      <c r="C6">
        <v>52156944</v>
      </c>
      <c r="D6">
        <v>45976891</v>
      </c>
      <c r="E6">
        <v>1</v>
      </c>
      <c r="F6">
        <v>1</v>
      </c>
      <c r="G6">
        <v>1</v>
      </c>
      <c r="H6">
        <v>1</v>
      </c>
      <c r="I6" t="s">
        <v>281</v>
      </c>
      <c r="J6" t="s">
        <v>3</v>
      </c>
      <c r="K6" t="s">
        <v>282</v>
      </c>
      <c r="L6">
        <v>1476</v>
      </c>
      <c r="N6">
        <v>1013</v>
      </c>
      <c r="O6" t="s">
        <v>283</v>
      </c>
      <c r="P6" t="s">
        <v>284</v>
      </c>
      <c r="Q6">
        <v>1</v>
      </c>
      <c r="W6">
        <v>0</v>
      </c>
      <c r="X6">
        <v>-295123421</v>
      </c>
      <c r="Y6">
        <v>0.28749999999999998</v>
      </c>
      <c r="AA6">
        <v>0</v>
      </c>
      <c r="AB6">
        <v>0</v>
      </c>
      <c r="AC6">
        <v>0</v>
      </c>
      <c r="AD6">
        <v>6.65</v>
      </c>
      <c r="AE6">
        <v>0</v>
      </c>
      <c r="AF6">
        <v>0</v>
      </c>
      <c r="AG6">
        <v>0</v>
      </c>
      <c r="AH6">
        <v>6.65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0.25</v>
      </c>
      <c r="AU6" t="s">
        <v>12</v>
      </c>
      <c r="AV6">
        <v>1</v>
      </c>
      <c r="AW6">
        <v>2</v>
      </c>
      <c r="AX6">
        <v>52156949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Y6*Source!I33</f>
        <v>1.4375</v>
      </c>
      <c r="CY6">
        <f>AD6</f>
        <v>6.65</v>
      </c>
      <c r="CZ6">
        <f>AH6</f>
        <v>6.65</v>
      </c>
      <c r="DA6">
        <f>AL6</f>
        <v>1</v>
      </c>
      <c r="DB6">
        <f>ROUND((ROUND(AT6*CZ6,2)*1.15),2)</f>
        <v>1.91</v>
      </c>
      <c r="DC6">
        <f>ROUND((ROUND(AT6*AG6,2)*1.15),2)</f>
        <v>0</v>
      </c>
    </row>
    <row r="7" spans="1:107" x14ac:dyDescent="0.2">
      <c r="A7">
        <f>ROW(Source!A33)</f>
        <v>33</v>
      </c>
      <c r="B7">
        <v>52156631</v>
      </c>
      <c r="C7">
        <v>52156944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285</v>
      </c>
      <c r="L7">
        <v>608254</v>
      </c>
      <c r="N7">
        <v>1013</v>
      </c>
      <c r="O7" t="s">
        <v>286</v>
      </c>
      <c r="P7" t="s">
        <v>286</v>
      </c>
      <c r="Q7">
        <v>1</v>
      </c>
      <c r="W7">
        <v>0</v>
      </c>
      <c r="X7">
        <v>-185737400</v>
      </c>
      <c r="Y7">
        <v>0.17500000000000002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0.14000000000000001</v>
      </c>
      <c r="AU7" t="s">
        <v>11</v>
      </c>
      <c r="AV7">
        <v>2</v>
      </c>
      <c r="AW7">
        <v>2</v>
      </c>
      <c r="AX7">
        <v>52156950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Y7*Source!I33</f>
        <v>0.87500000000000011</v>
      </c>
      <c r="CY7">
        <f>AD7</f>
        <v>0</v>
      </c>
      <c r="CZ7">
        <f>AH7</f>
        <v>0</v>
      </c>
      <c r="DA7">
        <f>AL7</f>
        <v>1</v>
      </c>
      <c r="DB7">
        <f>ROUND((ROUND(AT7*CZ7,2)*1.25),2)</f>
        <v>0</v>
      </c>
      <c r="DC7">
        <f>ROUND((ROUND(AT7*AG7,2)*1.25),2)</f>
        <v>0</v>
      </c>
    </row>
    <row r="8" spans="1:107" x14ac:dyDescent="0.2">
      <c r="A8">
        <f>ROW(Source!A33)</f>
        <v>33</v>
      </c>
      <c r="B8">
        <v>52156631</v>
      </c>
      <c r="C8">
        <v>52156944</v>
      </c>
      <c r="D8">
        <v>45811233</v>
      </c>
      <c r="E8">
        <v>1</v>
      </c>
      <c r="F8">
        <v>1</v>
      </c>
      <c r="G8">
        <v>1</v>
      </c>
      <c r="H8">
        <v>2</v>
      </c>
      <c r="I8" t="s">
        <v>287</v>
      </c>
      <c r="J8" t="s">
        <v>288</v>
      </c>
      <c r="K8" t="s">
        <v>289</v>
      </c>
      <c r="L8">
        <v>45811227</v>
      </c>
      <c r="N8">
        <v>1013</v>
      </c>
      <c r="O8" t="s">
        <v>290</v>
      </c>
      <c r="P8" t="s">
        <v>290</v>
      </c>
      <c r="Q8">
        <v>1</v>
      </c>
      <c r="W8">
        <v>0</v>
      </c>
      <c r="X8">
        <v>-1385423639</v>
      </c>
      <c r="Y8">
        <v>0.17500000000000002</v>
      </c>
      <c r="AA8">
        <v>0</v>
      </c>
      <c r="AB8">
        <v>4.01</v>
      </c>
      <c r="AC8">
        <v>0</v>
      </c>
      <c r="AD8">
        <v>0</v>
      </c>
      <c r="AE8">
        <v>0</v>
      </c>
      <c r="AF8">
        <v>4.01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0.14000000000000001</v>
      </c>
      <c r="AU8" t="s">
        <v>11</v>
      </c>
      <c r="AV8">
        <v>0</v>
      </c>
      <c r="AW8">
        <v>2</v>
      </c>
      <c r="AX8">
        <v>52156951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Y8*Source!I33</f>
        <v>0.87500000000000011</v>
      </c>
      <c r="CY8">
        <f>AB8</f>
        <v>4.01</v>
      </c>
      <c r="CZ8">
        <f>AF8</f>
        <v>4.01</v>
      </c>
      <c r="DA8">
        <f>AJ8</f>
        <v>1</v>
      </c>
      <c r="DB8">
        <f>ROUND((ROUND(AT8*CZ8,2)*1.25),2)</f>
        <v>0.7</v>
      </c>
      <c r="DC8">
        <f>ROUND((ROUND(AT8*AG8,2)*1.25),2)</f>
        <v>0</v>
      </c>
    </row>
    <row r="9" spans="1:107" x14ac:dyDescent="0.2">
      <c r="A9">
        <f>ROW(Source!A33)</f>
        <v>33</v>
      </c>
      <c r="B9">
        <v>52156631</v>
      </c>
      <c r="C9">
        <v>52156944</v>
      </c>
      <c r="D9">
        <v>45811258</v>
      </c>
      <c r="E9">
        <v>1</v>
      </c>
      <c r="F9">
        <v>1</v>
      </c>
      <c r="G9">
        <v>1</v>
      </c>
      <c r="H9">
        <v>2</v>
      </c>
      <c r="I9" t="s">
        <v>291</v>
      </c>
      <c r="J9" t="s">
        <v>292</v>
      </c>
      <c r="K9" t="s">
        <v>293</v>
      </c>
      <c r="L9">
        <v>45811227</v>
      </c>
      <c r="N9">
        <v>1013</v>
      </c>
      <c r="O9" t="s">
        <v>290</v>
      </c>
      <c r="P9" t="s">
        <v>290</v>
      </c>
      <c r="Q9">
        <v>1</v>
      </c>
      <c r="W9">
        <v>0</v>
      </c>
      <c r="X9">
        <v>263487835</v>
      </c>
      <c r="Y9">
        <v>0.17500000000000002</v>
      </c>
      <c r="AA9">
        <v>0</v>
      </c>
      <c r="AB9">
        <v>74.37</v>
      </c>
      <c r="AC9">
        <v>13.26</v>
      </c>
      <c r="AD9">
        <v>0</v>
      </c>
      <c r="AE9">
        <v>0</v>
      </c>
      <c r="AF9">
        <v>74.37</v>
      </c>
      <c r="AG9">
        <v>13.26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0.14000000000000001</v>
      </c>
      <c r="AU9" t="s">
        <v>11</v>
      </c>
      <c r="AV9">
        <v>0</v>
      </c>
      <c r="AW9">
        <v>2</v>
      </c>
      <c r="AX9">
        <v>52156952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Y9*Source!I33</f>
        <v>0.87500000000000011</v>
      </c>
      <c r="CY9">
        <f>AB9</f>
        <v>74.37</v>
      </c>
      <c r="CZ9">
        <f>AF9</f>
        <v>74.37</v>
      </c>
      <c r="DA9">
        <f>AJ9</f>
        <v>1</v>
      </c>
      <c r="DB9">
        <f>ROUND((ROUND(AT9*CZ9,2)*1.25),2)</f>
        <v>13.01</v>
      </c>
      <c r="DC9">
        <f>ROUND((ROUND(AT9*AG9,2)*1.25),2)</f>
        <v>2.33</v>
      </c>
    </row>
    <row r="10" spans="1:107" x14ac:dyDescent="0.2">
      <c r="A10">
        <f>ROW(Source!A34)</f>
        <v>34</v>
      </c>
      <c r="B10">
        <v>52156631</v>
      </c>
      <c r="C10">
        <v>52156953</v>
      </c>
      <c r="D10">
        <v>45975157</v>
      </c>
      <c r="E10">
        <v>1</v>
      </c>
      <c r="F10">
        <v>1</v>
      </c>
      <c r="G10">
        <v>1</v>
      </c>
      <c r="H10">
        <v>1</v>
      </c>
      <c r="I10" t="s">
        <v>297</v>
      </c>
      <c r="J10" t="s">
        <v>3</v>
      </c>
      <c r="K10" t="s">
        <v>298</v>
      </c>
      <c r="L10">
        <v>1476</v>
      </c>
      <c r="N10">
        <v>1013</v>
      </c>
      <c r="O10" t="s">
        <v>283</v>
      </c>
      <c r="P10" t="s">
        <v>284</v>
      </c>
      <c r="Q10">
        <v>1</v>
      </c>
      <c r="W10">
        <v>0</v>
      </c>
      <c r="X10">
        <v>842368670</v>
      </c>
      <c r="Y10">
        <v>4.3699999999999992</v>
      </c>
      <c r="AA10">
        <v>0</v>
      </c>
      <c r="AB10">
        <v>0</v>
      </c>
      <c r="AC10">
        <v>0</v>
      </c>
      <c r="AD10">
        <v>7.21</v>
      </c>
      <c r="AE10">
        <v>0</v>
      </c>
      <c r="AF10">
        <v>0</v>
      </c>
      <c r="AG10">
        <v>0</v>
      </c>
      <c r="AH10">
        <v>7.21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3.8</v>
      </c>
      <c r="AU10" t="s">
        <v>12</v>
      </c>
      <c r="AV10">
        <v>1</v>
      </c>
      <c r="AW10">
        <v>2</v>
      </c>
      <c r="AX10">
        <v>52156965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Y10*Source!I34</f>
        <v>21.849999999999994</v>
      </c>
      <c r="CY10">
        <f>AD10</f>
        <v>7.21</v>
      </c>
      <c r="CZ10">
        <f>AH10</f>
        <v>7.21</v>
      </c>
      <c r="DA10">
        <f>AL10</f>
        <v>1</v>
      </c>
      <c r="DB10">
        <f>ROUND((ROUND(AT10*CZ10,2)*1.15),2)</f>
        <v>31.51</v>
      </c>
      <c r="DC10">
        <f>ROUND((ROUND(AT10*AG10,2)*1.15),2)</f>
        <v>0</v>
      </c>
    </row>
    <row r="11" spans="1:107" x14ac:dyDescent="0.2">
      <c r="A11">
        <f>ROW(Source!A34)</f>
        <v>34</v>
      </c>
      <c r="B11">
        <v>52156631</v>
      </c>
      <c r="C11">
        <v>52156953</v>
      </c>
      <c r="D11">
        <v>121548</v>
      </c>
      <c r="E11">
        <v>1</v>
      </c>
      <c r="F11">
        <v>1</v>
      </c>
      <c r="G11">
        <v>1</v>
      </c>
      <c r="H11">
        <v>1</v>
      </c>
      <c r="I11" t="s">
        <v>26</v>
      </c>
      <c r="J11" t="s">
        <v>3</v>
      </c>
      <c r="K11" t="s">
        <v>285</v>
      </c>
      <c r="L11">
        <v>608254</v>
      </c>
      <c r="N11">
        <v>1013</v>
      </c>
      <c r="O11" t="s">
        <v>286</v>
      </c>
      <c r="P11" t="s">
        <v>286</v>
      </c>
      <c r="Q11">
        <v>1</v>
      </c>
      <c r="W11">
        <v>0</v>
      </c>
      <c r="X11">
        <v>-185737400</v>
      </c>
      <c r="Y11">
        <v>0.97500000000000009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0.78</v>
      </c>
      <c r="AU11" t="s">
        <v>11</v>
      </c>
      <c r="AV11">
        <v>2</v>
      </c>
      <c r="AW11">
        <v>2</v>
      </c>
      <c r="AX11">
        <v>52156966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Y11*Source!I34</f>
        <v>4.875</v>
      </c>
      <c r="CY11">
        <f>AD11</f>
        <v>0</v>
      </c>
      <c r="CZ11">
        <f>AH11</f>
        <v>0</v>
      </c>
      <c r="DA11">
        <f>AL11</f>
        <v>1</v>
      </c>
      <c r="DB11">
        <f>ROUND((ROUND(AT11*CZ11,2)*1.25),2)</f>
        <v>0</v>
      </c>
      <c r="DC11">
        <f>ROUND((ROUND(AT11*AG11,2)*1.25),2)</f>
        <v>0</v>
      </c>
    </row>
    <row r="12" spans="1:107" x14ac:dyDescent="0.2">
      <c r="A12">
        <f>ROW(Source!A34)</f>
        <v>34</v>
      </c>
      <c r="B12">
        <v>52156631</v>
      </c>
      <c r="C12">
        <v>52156953</v>
      </c>
      <c r="D12">
        <v>45812380</v>
      </c>
      <c r="E12">
        <v>1</v>
      </c>
      <c r="F12">
        <v>1</v>
      </c>
      <c r="G12">
        <v>1</v>
      </c>
      <c r="H12">
        <v>2</v>
      </c>
      <c r="I12" t="s">
        <v>299</v>
      </c>
      <c r="J12" t="s">
        <v>300</v>
      </c>
      <c r="K12" t="s">
        <v>301</v>
      </c>
      <c r="L12">
        <v>45811227</v>
      </c>
      <c r="N12">
        <v>1013</v>
      </c>
      <c r="O12" t="s">
        <v>290</v>
      </c>
      <c r="P12" t="s">
        <v>290</v>
      </c>
      <c r="Q12">
        <v>1</v>
      </c>
      <c r="W12">
        <v>0</v>
      </c>
      <c r="X12">
        <v>-1014531295</v>
      </c>
      <c r="Y12">
        <v>0.97500000000000009</v>
      </c>
      <c r="AA12">
        <v>0</v>
      </c>
      <c r="AB12">
        <v>138.32</v>
      </c>
      <c r="AC12">
        <v>11.38</v>
      </c>
      <c r="AD12">
        <v>0</v>
      </c>
      <c r="AE12">
        <v>0</v>
      </c>
      <c r="AF12">
        <v>138.32</v>
      </c>
      <c r="AG12">
        <v>11.38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0.78</v>
      </c>
      <c r="AU12" t="s">
        <v>11</v>
      </c>
      <c r="AV12">
        <v>0</v>
      </c>
      <c r="AW12">
        <v>2</v>
      </c>
      <c r="AX12">
        <v>52156967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Y12*Source!I34</f>
        <v>4.875</v>
      </c>
      <c r="CY12">
        <f>AB12</f>
        <v>138.32</v>
      </c>
      <c r="CZ12">
        <f>AF12</f>
        <v>138.32</v>
      </c>
      <c r="DA12">
        <f>AJ12</f>
        <v>1</v>
      </c>
      <c r="DB12">
        <f>ROUND((ROUND(AT12*CZ12,2)*1.25),2)</f>
        <v>134.86000000000001</v>
      </c>
      <c r="DC12">
        <f>ROUND((ROUND(AT12*AG12,2)*1.25),2)</f>
        <v>11.1</v>
      </c>
    </row>
    <row r="13" spans="1:107" x14ac:dyDescent="0.2">
      <c r="A13">
        <f>ROW(Source!A34)</f>
        <v>34</v>
      </c>
      <c r="B13">
        <v>52156631</v>
      </c>
      <c r="C13">
        <v>52156953</v>
      </c>
      <c r="D13">
        <v>45813321</v>
      </c>
      <c r="E13">
        <v>1</v>
      </c>
      <c r="F13">
        <v>1</v>
      </c>
      <c r="G13">
        <v>1</v>
      </c>
      <c r="H13">
        <v>2</v>
      </c>
      <c r="I13" t="s">
        <v>302</v>
      </c>
      <c r="J13" t="s">
        <v>303</v>
      </c>
      <c r="K13" t="s">
        <v>304</v>
      </c>
      <c r="L13">
        <v>45811227</v>
      </c>
      <c r="N13">
        <v>1013</v>
      </c>
      <c r="O13" t="s">
        <v>290</v>
      </c>
      <c r="P13" t="s">
        <v>290</v>
      </c>
      <c r="Q13">
        <v>1</v>
      </c>
      <c r="W13">
        <v>0</v>
      </c>
      <c r="X13">
        <v>771999048</v>
      </c>
      <c r="Y13">
        <v>0.23749999999999999</v>
      </c>
      <c r="AA13">
        <v>0</v>
      </c>
      <c r="AB13">
        <v>86.55</v>
      </c>
      <c r="AC13">
        <v>0</v>
      </c>
      <c r="AD13">
        <v>0</v>
      </c>
      <c r="AE13">
        <v>0</v>
      </c>
      <c r="AF13">
        <v>86.55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0.19</v>
      </c>
      <c r="AU13" t="s">
        <v>11</v>
      </c>
      <c r="AV13">
        <v>0</v>
      </c>
      <c r="AW13">
        <v>2</v>
      </c>
      <c r="AX13">
        <v>52156968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1.1875</v>
      </c>
      <c r="CY13">
        <f>AB13</f>
        <v>86.55</v>
      </c>
      <c r="CZ13">
        <f>AF13</f>
        <v>86.55</v>
      </c>
      <c r="DA13">
        <f>AJ13</f>
        <v>1</v>
      </c>
      <c r="DB13">
        <f>ROUND((ROUND(AT13*CZ13,2)*1.25),2)</f>
        <v>20.55</v>
      </c>
      <c r="DC13">
        <f>ROUND((ROUND(AT13*AG13,2)*1.25),2)</f>
        <v>0</v>
      </c>
    </row>
    <row r="14" spans="1:107" x14ac:dyDescent="0.2">
      <c r="A14">
        <f>ROW(Source!A34)</f>
        <v>34</v>
      </c>
      <c r="B14">
        <v>52156631</v>
      </c>
      <c r="C14">
        <v>52156953</v>
      </c>
      <c r="D14">
        <v>45814729</v>
      </c>
      <c r="E14">
        <v>1</v>
      </c>
      <c r="F14">
        <v>1</v>
      </c>
      <c r="G14">
        <v>1</v>
      </c>
      <c r="H14">
        <v>3</v>
      </c>
      <c r="I14" t="s">
        <v>305</v>
      </c>
      <c r="J14" t="s">
        <v>306</v>
      </c>
      <c r="K14" t="s">
        <v>307</v>
      </c>
      <c r="L14">
        <v>1348</v>
      </c>
      <c r="N14">
        <v>1009</v>
      </c>
      <c r="O14" t="s">
        <v>105</v>
      </c>
      <c r="P14" t="s">
        <v>105</v>
      </c>
      <c r="Q14">
        <v>1000</v>
      </c>
      <c r="W14">
        <v>0</v>
      </c>
      <c r="X14">
        <v>-1011918557</v>
      </c>
      <c r="Y14">
        <v>4.0000000000000002E-4</v>
      </c>
      <c r="AA14">
        <v>16544.72</v>
      </c>
      <c r="AB14">
        <v>0</v>
      </c>
      <c r="AC14">
        <v>0</v>
      </c>
      <c r="AD14">
        <v>0</v>
      </c>
      <c r="AE14">
        <v>16544.72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4.0000000000000002E-4</v>
      </c>
      <c r="AU14" t="s">
        <v>3</v>
      </c>
      <c r="AV14">
        <v>0</v>
      </c>
      <c r="AW14">
        <v>2</v>
      </c>
      <c r="AX14">
        <v>52156969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2E-3</v>
      </c>
      <c r="CY14">
        <f t="shared" ref="CY14:CY20" si="0">AA14</f>
        <v>16544.72</v>
      </c>
      <c r="CZ14">
        <f t="shared" ref="CZ14:CZ20" si="1">AE14</f>
        <v>16544.72</v>
      </c>
      <c r="DA14">
        <f t="shared" ref="DA14:DA20" si="2">AI14</f>
        <v>1</v>
      </c>
      <c r="DB14">
        <f t="shared" ref="DB14:DB20" si="3">ROUND(ROUND(AT14*CZ14,2),2)</f>
        <v>6.62</v>
      </c>
      <c r="DC14">
        <f t="shared" ref="DC14:DC20" si="4">ROUND(ROUND(AT14*AG14,2),2)</f>
        <v>0</v>
      </c>
    </row>
    <row r="15" spans="1:107" x14ac:dyDescent="0.2">
      <c r="A15">
        <f>ROW(Source!A34)</f>
        <v>34</v>
      </c>
      <c r="B15">
        <v>52156631</v>
      </c>
      <c r="C15">
        <v>52156953</v>
      </c>
      <c r="D15">
        <v>45815427</v>
      </c>
      <c r="E15">
        <v>1</v>
      </c>
      <c r="F15">
        <v>1</v>
      </c>
      <c r="G15">
        <v>1</v>
      </c>
      <c r="H15">
        <v>3</v>
      </c>
      <c r="I15" t="s">
        <v>308</v>
      </c>
      <c r="J15" t="s">
        <v>309</v>
      </c>
      <c r="K15" t="s">
        <v>310</v>
      </c>
      <c r="L15">
        <v>1348</v>
      </c>
      <c r="N15">
        <v>1009</v>
      </c>
      <c r="O15" t="s">
        <v>105</v>
      </c>
      <c r="P15" t="s">
        <v>105</v>
      </c>
      <c r="Q15">
        <v>1000</v>
      </c>
      <c r="W15">
        <v>0</v>
      </c>
      <c r="X15">
        <v>941420639</v>
      </c>
      <c r="Y15">
        <v>3.0000000000000001E-5</v>
      </c>
      <c r="AA15">
        <v>9220.7199999999993</v>
      </c>
      <c r="AB15">
        <v>0</v>
      </c>
      <c r="AC15">
        <v>0</v>
      </c>
      <c r="AD15">
        <v>0</v>
      </c>
      <c r="AE15">
        <v>9220.7199999999993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3.0000000000000001E-5</v>
      </c>
      <c r="AU15" t="s">
        <v>3</v>
      </c>
      <c r="AV15">
        <v>0</v>
      </c>
      <c r="AW15">
        <v>2</v>
      </c>
      <c r="AX15">
        <v>52156970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1.5000000000000001E-4</v>
      </c>
      <c r="CY15">
        <f t="shared" si="0"/>
        <v>9220.7199999999993</v>
      </c>
      <c r="CZ15">
        <f t="shared" si="1"/>
        <v>9220.7199999999993</v>
      </c>
      <c r="DA15">
        <f t="shared" si="2"/>
        <v>1</v>
      </c>
      <c r="DB15">
        <f t="shared" si="3"/>
        <v>0.28000000000000003</v>
      </c>
      <c r="DC15">
        <f t="shared" si="4"/>
        <v>0</v>
      </c>
    </row>
    <row r="16" spans="1:107" x14ac:dyDescent="0.2">
      <c r="A16">
        <f>ROW(Source!A34)</f>
        <v>34</v>
      </c>
      <c r="B16">
        <v>52156631</v>
      </c>
      <c r="C16">
        <v>52156953</v>
      </c>
      <c r="D16">
        <v>45816364</v>
      </c>
      <c r="E16">
        <v>1</v>
      </c>
      <c r="F16">
        <v>1</v>
      </c>
      <c r="G16">
        <v>1</v>
      </c>
      <c r="H16">
        <v>3</v>
      </c>
      <c r="I16" t="s">
        <v>311</v>
      </c>
      <c r="J16" t="s">
        <v>312</v>
      </c>
      <c r="K16" t="s">
        <v>313</v>
      </c>
      <c r="L16">
        <v>1346</v>
      </c>
      <c r="N16">
        <v>1009</v>
      </c>
      <c r="O16" t="s">
        <v>314</v>
      </c>
      <c r="P16" t="s">
        <v>314</v>
      </c>
      <c r="Q16">
        <v>1</v>
      </c>
      <c r="W16">
        <v>0</v>
      </c>
      <c r="X16">
        <v>-78230858</v>
      </c>
      <c r="Y16">
        <v>0.02</v>
      </c>
      <c r="AA16">
        <v>1.69</v>
      </c>
      <c r="AB16">
        <v>0</v>
      </c>
      <c r="AC16">
        <v>0</v>
      </c>
      <c r="AD16">
        <v>0</v>
      </c>
      <c r="AE16">
        <v>1.69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0.02</v>
      </c>
      <c r="AU16" t="s">
        <v>3</v>
      </c>
      <c r="AV16">
        <v>0</v>
      </c>
      <c r="AW16">
        <v>2</v>
      </c>
      <c r="AX16">
        <v>52156972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0.1</v>
      </c>
      <c r="CY16">
        <f t="shared" si="0"/>
        <v>1.69</v>
      </c>
      <c r="CZ16">
        <f t="shared" si="1"/>
        <v>1.69</v>
      </c>
      <c r="DA16">
        <f t="shared" si="2"/>
        <v>1</v>
      </c>
      <c r="DB16">
        <f t="shared" si="3"/>
        <v>0.03</v>
      </c>
      <c r="DC16">
        <f t="shared" si="4"/>
        <v>0</v>
      </c>
    </row>
    <row r="17" spans="1:107" x14ac:dyDescent="0.2">
      <c r="A17">
        <f>ROW(Source!A34)</f>
        <v>34</v>
      </c>
      <c r="B17">
        <v>52156631</v>
      </c>
      <c r="C17">
        <v>52156953</v>
      </c>
      <c r="D17">
        <v>45817071</v>
      </c>
      <c r="E17">
        <v>1</v>
      </c>
      <c r="F17">
        <v>1</v>
      </c>
      <c r="G17">
        <v>1</v>
      </c>
      <c r="H17">
        <v>3</v>
      </c>
      <c r="I17" t="s">
        <v>315</v>
      </c>
      <c r="J17" t="s">
        <v>316</v>
      </c>
      <c r="K17" t="s">
        <v>317</v>
      </c>
      <c r="L17">
        <v>1346</v>
      </c>
      <c r="N17">
        <v>1009</v>
      </c>
      <c r="O17" t="s">
        <v>314</v>
      </c>
      <c r="P17" t="s">
        <v>314</v>
      </c>
      <c r="Q17">
        <v>1</v>
      </c>
      <c r="W17">
        <v>0</v>
      </c>
      <c r="X17">
        <v>1644121390</v>
      </c>
      <c r="Y17">
        <v>0.1</v>
      </c>
      <c r="AA17">
        <v>13.33</v>
      </c>
      <c r="AB17">
        <v>0</v>
      </c>
      <c r="AC17">
        <v>0</v>
      </c>
      <c r="AD17">
        <v>0</v>
      </c>
      <c r="AE17">
        <v>13.33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0.1</v>
      </c>
      <c r="AU17" t="s">
        <v>3</v>
      </c>
      <c r="AV17">
        <v>0</v>
      </c>
      <c r="AW17">
        <v>2</v>
      </c>
      <c r="AX17">
        <v>52156973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Y17*Source!I34</f>
        <v>0.5</v>
      </c>
      <c r="CY17">
        <f t="shared" si="0"/>
        <v>13.33</v>
      </c>
      <c r="CZ17">
        <f t="shared" si="1"/>
        <v>13.33</v>
      </c>
      <c r="DA17">
        <f t="shared" si="2"/>
        <v>1</v>
      </c>
      <c r="DB17">
        <f t="shared" si="3"/>
        <v>1.33</v>
      </c>
      <c r="DC17">
        <f t="shared" si="4"/>
        <v>0</v>
      </c>
    </row>
    <row r="18" spans="1:107" x14ac:dyDescent="0.2">
      <c r="A18">
        <f>ROW(Source!A34)</f>
        <v>34</v>
      </c>
      <c r="B18">
        <v>52156631</v>
      </c>
      <c r="C18">
        <v>52156953</v>
      </c>
      <c r="D18">
        <v>45830136</v>
      </c>
      <c r="E18">
        <v>1</v>
      </c>
      <c r="F18">
        <v>1</v>
      </c>
      <c r="G18">
        <v>1</v>
      </c>
      <c r="H18">
        <v>3</v>
      </c>
      <c r="I18" t="s">
        <v>318</v>
      </c>
      <c r="J18" t="s">
        <v>319</v>
      </c>
      <c r="K18" t="s">
        <v>320</v>
      </c>
      <c r="L18">
        <v>1348</v>
      </c>
      <c r="N18">
        <v>1009</v>
      </c>
      <c r="O18" t="s">
        <v>105</v>
      </c>
      <c r="P18" t="s">
        <v>105</v>
      </c>
      <c r="Q18">
        <v>1000</v>
      </c>
      <c r="W18">
        <v>0</v>
      </c>
      <c r="X18">
        <v>183382560</v>
      </c>
      <c r="Y18">
        <v>1E-4</v>
      </c>
      <c r="AA18">
        <v>9368.7199999999993</v>
      </c>
      <c r="AB18">
        <v>0</v>
      </c>
      <c r="AC18">
        <v>0</v>
      </c>
      <c r="AD18">
        <v>0</v>
      </c>
      <c r="AE18">
        <v>9368.7199999999993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1E-4</v>
      </c>
      <c r="AU18" t="s">
        <v>3</v>
      </c>
      <c r="AV18">
        <v>0</v>
      </c>
      <c r="AW18">
        <v>2</v>
      </c>
      <c r="AX18">
        <v>52156978</v>
      </c>
      <c r="AY18">
        <v>1</v>
      </c>
      <c r="AZ18">
        <v>0</v>
      </c>
      <c r="BA18">
        <v>23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Y18*Source!I34</f>
        <v>5.0000000000000001E-4</v>
      </c>
      <c r="CY18">
        <f t="shared" si="0"/>
        <v>9368.7199999999993</v>
      </c>
      <c r="CZ18">
        <f t="shared" si="1"/>
        <v>9368.7199999999993</v>
      </c>
      <c r="DA18">
        <f t="shared" si="2"/>
        <v>1</v>
      </c>
      <c r="DB18">
        <f t="shared" si="3"/>
        <v>0.94</v>
      </c>
      <c r="DC18">
        <f t="shared" si="4"/>
        <v>0</v>
      </c>
    </row>
    <row r="19" spans="1:107" x14ac:dyDescent="0.2">
      <c r="A19">
        <f>ROW(Source!A34)</f>
        <v>34</v>
      </c>
      <c r="B19">
        <v>52156631</v>
      </c>
      <c r="C19">
        <v>52156953</v>
      </c>
      <c r="D19">
        <v>45856857</v>
      </c>
      <c r="E19">
        <v>1</v>
      </c>
      <c r="F19">
        <v>1</v>
      </c>
      <c r="G19">
        <v>1</v>
      </c>
      <c r="H19">
        <v>3</v>
      </c>
      <c r="I19" t="s">
        <v>35</v>
      </c>
      <c r="J19" t="s">
        <v>38</v>
      </c>
      <c r="K19" t="s">
        <v>36</v>
      </c>
      <c r="L19">
        <v>1354</v>
      </c>
      <c r="N19">
        <v>1010</v>
      </c>
      <c r="O19" t="s">
        <v>37</v>
      </c>
      <c r="P19" t="s">
        <v>37</v>
      </c>
      <c r="Q19">
        <v>1</v>
      </c>
      <c r="W19">
        <v>0</v>
      </c>
      <c r="X19">
        <v>795211143</v>
      </c>
      <c r="Y19">
        <v>1</v>
      </c>
      <c r="AA19">
        <v>1487.26</v>
      </c>
      <c r="AB19">
        <v>0</v>
      </c>
      <c r="AC19">
        <v>0</v>
      </c>
      <c r="AD19">
        <v>0</v>
      </c>
      <c r="AE19">
        <v>1487.26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1</v>
      </c>
      <c r="AO19">
        <v>0</v>
      </c>
      <c r="AP19">
        <v>0</v>
      </c>
      <c r="AQ19">
        <v>0</v>
      </c>
      <c r="AR19">
        <v>0</v>
      </c>
      <c r="AS19" t="s">
        <v>3</v>
      </c>
      <c r="AT19">
        <v>1</v>
      </c>
      <c r="AU19" t="s">
        <v>3</v>
      </c>
      <c r="AV19">
        <v>0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Y19*Source!I34</f>
        <v>5</v>
      </c>
      <c r="CY19">
        <f t="shared" si="0"/>
        <v>1487.26</v>
      </c>
      <c r="CZ19">
        <f t="shared" si="1"/>
        <v>1487.26</v>
      </c>
      <c r="DA19">
        <f t="shared" si="2"/>
        <v>1</v>
      </c>
      <c r="DB19">
        <f t="shared" si="3"/>
        <v>1487.26</v>
      </c>
      <c r="DC19">
        <f t="shared" si="4"/>
        <v>0</v>
      </c>
    </row>
    <row r="20" spans="1:107" x14ac:dyDescent="0.2">
      <c r="A20">
        <f>ROW(Source!A34)</f>
        <v>34</v>
      </c>
      <c r="B20">
        <v>52156631</v>
      </c>
      <c r="C20">
        <v>52156953</v>
      </c>
      <c r="D20">
        <v>45880198</v>
      </c>
      <c r="E20">
        <v>1</v>
      </c>
      <c r="F20">
        <v>1</v>
      </c>
      <c r="G20">
        <v>1</v>
      </c>
      <c r="H20">
        <v>3</v>
      </c>
      <c r="I20" t="s">
        <v>321</v>
      </c>
      <c r="J20" t="s">
        <v>322</v>
      </c>
      <c r="K20" t="s">
        <v>323</v>
      </c>
      <c r="L20">
        <v>1354</v>
      </c>
      <c r="N20">
        <v>1010</v>
      </c>
      <c r="O20" t="s">
        <v>37</v>
      </c>
      <c r="P20" t="s">
        <v>37</v>
      </c>
      <c r="Q20">
        <v>1</v>
      </c>
      <c r="W20">
        <v>0</v>
      </c>
      <c r="X20">
        <v>-1309811150</v>
      </c>
      <c r="Y20">
        <v>6</v>
      </c>
      <c r="AA20">
        <v>5.65</v>
      </c>
      <c r="AB20">
        <v>0</v>
      </c>
      <c r="AC20">
        <v>0</v>
      </c>
      <c r="AD20">
        <v>0</v>
      </c>
      <c r="AE20">
        <v>5.65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6</v>
      </c>
      <c r="AU20" t="s">
        <v>3</v>
      </c>
      <c r="AV20">
        <v>0</v>
      </c>
      <c r="AW20">
        <v>2</v>
      </c>
      <c r="AX20">
        <v>52156982</v>
      </c>
      <c r="AY20">
        <v>1</v>
      </c>
      <c r="AZ20">
        <v>0</v>
      </c>
      <c r="BA20">
        <v>27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Y20*Source!I34</f>
        <v>30</v>
      </c>
      <c r="CY20">
        <f t="shared" si="0"/>
        <v>5.65</v>
      </c>
      <c r="CZ20">
        <f t="shared" si="1"/>
        <v>5.65</v>
      </c>
      <c r="DA20">
        <f t="shared" si="2"/>
        <v>1</v>
      </c>
      <c r="DB20">
        <f t="shared" si="3"/>
        <v>33.9</v>
      </c>
      <c r="DC20">
        <f t="shared" si="4"/>
        <v>0</v>
      </c>
    </row>
    <row r="21" spans="1:107" x14ac:dyDescent="0.2">
      <c r="A21">
        <f>ROW(Source!A36)</f>
        <v>36</v>
      </c>
      <c r="B21">
        <v>52156631</v>
      </c>
      <c r="C21">
        <v>52156984</v>
      </c>
      <c r="D21">
        <v>45980386</v>
      </c>
      <c r="E21">
        <v>1</v>
      </c>
      <c r="F21">
        <v>1</v>
      </c>
      <c r="G21">
        <v>1</v>
      </c>
      <c r="H21">
        <v>1</v>
      </c>
      <c r="I21" t="s">
        <v>324</v>
      </c>
      <c r="J21" t="s">
        <v>3</v>
      </c>
      <c r="K21" t="s">
        <v>325</v>
      </c>
      <c r="L21">
        <v>1476</v>
      </c>
      <c r="N21">
        <v>1013</v>
      </c>
      <c r="O21" t="s">
        <v>283</v>
      </c>
      <c r="P21" t="s">
        <v>284</v>
      </c>
      <c r="Q21">
        <v>1</v>
      </c>
      <c r="W21">
        <v>0</v>
      </c>
      <c r="X21">
        <v>794535095</v>
      </c>
      <c r="Y21">
        <v>75.025999999999982</v>
      </c>
      <c r="AA21">
        <v>0</v>
      </c>
      <c r="AB21">
        <v>0</v>
      </c>
      <c r="AC21">
        <v>0</v>
      </c>
      <c r="AD21">
        <v>7.74</v>
      </c>
      <c r="AE21">
        <v>0</v>
      </c>
      <c r="AF21">
        <v>0</v>
      </c>
      <c r="AG21">
        <v>0</v>
      </c>
      <c r="AH21">
        <v>7.74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65.239999999999995</v>
      </c>
      <c r="AU21" t="s">
        <v>12</v>
      </c>
      <c r="AV21">
        <v>1</v>
      </c>
      <c r="AW21">
        <v>2</v>
      </c>
      <c r="AX21">
        <v>52157007</v>
      </c>
      <c r="AY21">
        <v>1</v>
      </c>
      <c r="AZ21">
        <v>0</v>
      </c>
      <c r="BA21">
        <v>28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Y21*Source!I36</f>
        <v>8.928093999999998</v>
      </c>
      <c r="CY21">
        <f>AD21</f>
        <v>7.74</v>
      </c>
      <c r="CZ21">
        <f>AH21</f>
        <v>7.74</v>
      </c>
      <c r="DA21">
        <f>AL21</f>
        <v>1</v>
      </c>
      <c r="DB21">
        <f>ROUND((ROUND(AT21*CZ21,2)*1.15),2)</f>
        <v>580.70000000000005</v>
      </c>
      <c r="DC21">
        <f>ROUND((ROUND(AT21*AG21,2)*1.15),2)</f>
        <v>0</v>
      </c>
    </row>
    <row r="22" spans="1:107" x14ac:dyDescent="0.2">
      <c r="A22">
        <f>ROW(Source!A36)</f>
        <v>36</v>
      </c>
      <c r="B22">
        <v>52156631</v>
      </c>
      <c r="C22">
        <v>52156984</v>
      </c>
      <c r="D22">
        <v>121548</v>
      </c>
      <c r="E22">
        <v>1</v>
      </c>
      <c r="F22">
        <v>1</v>
      </c>
      <c r="G22">
        <v>1</v>
      </c>
      <c r="H22">
        <v>1</v>
      </c>
      <c r="I22" t="s">
        <v>26</v>
      </c>
      <c r="J22" t="s">
        <v>3</v>
      </c>
      <c r="K22" t="s">
        <v>285</v>
      </c>
      <c r="L22">
        <v>608254</v>
      </c>
      <c r="N22">
        <v>1013</v>
      </c>
      <c r="O22" t="s">
        <v>286</v>
      </c>
      <c r="P22" t="s">
        <v>286</v>
      </c>
      <c r="Q22">
        <v>1</v>
      </c>
      <c r="W22">
        <v>0</v>
      </c>
      <c r="X22">
        <v>-185737400</v>
      </c>
      <c r="Y22">
        <v>46.475000000000001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37.18</v>
      </c>
      <c r="AU22" t="s">
        <v>11</v>
      </c>
      <c r="AV22">
        <v>2</v>
      </c>
      <c r="AW22">
        <v>2</v>
      </c>
      <c r="AX22">
        <v>52157008</v>
      </c>
      <c r="AY22">
        <v>1</v>
      </c>
      <c r="AZ22">
        <v>0</v>
      </c>
      <c r="BA22">
        <v>29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Y22*Source!I36</f>
        <v>5.5305249999999999</v>
      </c>
      <c r="CY22">
        <f>AD22</f>
        <v>0</v>
      </c>
      <c r="CZ22">
        <f>AH22</f>
        <v>0</v>
      </c>
      <c r="DA22">
        <f>AL22</f>
        <v>1</v>
      </c>
      <c r="DB22">
        <f t="shared" ref="DB22:DB27" si="5">ROUND((ROUND(AT22*CZ22,2)*1.25),2)</f>
        <v>0</v>
      </c>
      <c r="DC22">
        <f t="shared" ref="DC22:DC27" si="6">ROUND((ROUND(AT22*AG22,2)*1.25),2)</f>
        <v>0</v>
      </c>
    </row>
    <row r="23" spans="1:107" x14ac:dyDescent="0.2">
      <c r="A23">
        <f>ROW(Source!A36)</f>
        <v>36</v>
      </c>
      <c r="B23">
        <v>52156631</v>
      </c>
      <c r="C23">
        <v>52156984</v>
      </c>
      <c r="D23">
        <v>45811353</v>
      </c>
      <c r="E23">
        <v>1</v>
      </c>
      <c r="F23">
        <v>1</v>
      </c>
      <c r="G23">
        <v>1</v>
      </c>
      <c r="H23">
        <v>2</v>
      </c>
      <c r="I23" t="s">
        <v>294</v>
      </c>
      <c r="J23" t="s">
        <v>295</v>
      </c>
      <c r="K23" t="s">
        <v>296</v>
      </c>
      <c r="L23">
        <v>45811227</v>
      </c>
      <c r="N23">
        <v>1013</v>
      </c>
      <c r="O23" t="s">
        <v>290</v>
      </c>
      <c r="P23" t="s">
        <v>290</v>
      </c>
      <c r="Q23">
        <v>1</v>
      </c>
      <c r="W23">
        <v>0</v>
      </c>
      <c r="X23">
        <v>642700064</v>
      </c>
      <c r="Y23">
        <v>1.0249999999999999</v>
      </c>
      <c r="AA23">
        <v>0</v>
      </c>
      <c r="AB23">
        <v>111.75</v>
      </c>
      <c r="AC23">
        <v>13.26</v>
      </c>
      <c r="AD23">
        <v>0</v>
      </c>
      <c r="AE23">
        <v>0</v>
      </c>
      <c r="AF23">
        <v>111.75</v>
      </c>
      <c r="AG23">
        <v>13.26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0.82</v>
      </c>
      <c r="AU23" t="s">
        <v>11</v>
      </c>
      <c r="AV23">
        <v>0</v>
      </c>
      <c r="AW23">
        <v>2</v>
      </c>
      <c r="AX23">
        <v>52157009</v>
      </c>
      <c r="AY23">
        <v>1</v>
      </c>
      <c r="AZ23">
        <v>0</v>
      </c>
      <c r="BA23">
        <v>30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Y23*Source!I36</f>
        <v>0.12197499999999999</v>
      </c>
      <c r="CY23">
        <f>AB23</f>
        <v>111.75</v>
      </c>
      <c r="CZ23">
        <f>AF23</f>
        <v>111.75</v>
      </c>
      <c r="DA23">
        <f>AJ23</f>
        <v>1</v>
      </c>
      <c r="DB23">
        <f t="shared" si="5"/>
        <v>114.55</v>
      </c>
      <c r="DC23">
        <f t="shared" si="6"/>
        <v>13.59</v>
      </c>
    </row>
    <row r="24" spans="1:107" x14ac:dyDescent="0.2">
      <c r="A24">
        <f>ROW(Source!A36)</f>
        <v>36</v>
      </c>
      <c r="B24">
        <v>52156631</v>
      </c>
      <c r="C24">
        <v>52156984</v>
      </c>
      <c r="D24">
        <v>45811438</v>
      </c>
      <c r="E24">
        <v>1</v>
      </c>
      <c r="F24">
        <v>1</v>
      </c>
      <c r="G24">
        <v>1</v>
      </c>
      <c r="H24">
        <v>2</v>
      </c>
      <c r="I24" t="s">
        <v>326</v>
      </c>
      <c r="J24" t="s">
        <v>327</v>
      </c>
      <c r="K24" t="s">
        <v>328</v>
      </c>
      <c r="L24">
        <v>45811227</v>
      </c>
      <c r="N24">
        <v>1013</v>
      </c>
      <c r="O24" t="s">
        <v>290</v>
      </c>
      <c r="P24" t="s">
        <v>290</v>
      </c>
      <c r="Q24">
        <v>1</v>
      </c>
      <c r="W24">
        <v>0</v>
      </c>
      <c r="X24">
        <v>504902060</v>
      </c>
      <c r="Y24">
        <v>12.2</v>
      </c>
      <c r="AA24">
        <v>0</v>
      </c>
      <c r="AB24">
        <v>1</v>
      </c>
      <c r="AC24">
        <v>0</v>
      </c>
      <c r="AD24">
        <v>0</v>
      </c>
      <c r="AE24">
        <v>0</v>
      </c>
      <c r="AF24">
        <v>1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9.76</v>
      </c>
      <c r="AU24" t="s">
        <v>11</v>
      </c>
      <c r="AV24">
        <v>0</v>
      </c>
      <c r="AW24">
        <v>2</v>
      </c>
      <c r="AX24">
        <v>52157010</v>
      </c>
      <c r="AY24">
        <v>1</v>
      </c>
      <c r="AZ24">
        <v>0</v>
      </c>
      <c r="BA24">
        <v>31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Y24*Source!I36</f>
        <v>1.4517999999999998</v>
      </c>
      <c r="CY24">
        <f>AB24</f>
        <v>1</v>
      </c>
      <c r="CZ24">
        <f>AF24</f>
        <v>1</v>
      </c>
      <c r="DA24">
        <f>AJ24</f>
        <v>1</v>
      </c>
      <c r="DB24">
        <f t="shared" si="5"/>
        <v>12.2</v>
      </c>
      <c r="DC24">
        <f t="shared" si="6"/>
        <v>0</v>
      </c>
    </row>
    <row r="25" spans="1:107" x14ac:dyDescent="0.2">
      <c r="A25">
        <f>ROW(Source!A36)</f>
        <v>36</v>
      </c>
      <c r="B25">
        <v>52156631</v>
      </c>
      <c r="C25">
        <v>52156984</v>
      </c>
      <c r="D25">
        <v>45811456</v>
      </c>
      <c r="E25">
        <v>1</v>
      </c>
      <c r="F25">
        <v>1</v>
      </c>
      <c r="G25">
        <v>1</v>
      </c>
      <c r="H25">
        <v>2</v>
      </c>
      <c r="I25" t="s">
        <v>329</v>
      </c>
      <c r="J25" t="s">
        <v>330</v>
      </c>
      <c r="K25" t="s">
        <v>331</v>
      </c>
      <c r="L25">
        <v>45811227</v>
      </c>
      <c r="N25">
        <v>1013</v>
      </c>
      <c r="O25" t="s">
        <v>290</v>
      </c>
      <c r="P25" t="s">
        <v>290</v>
      </c>
      <c r="Q25">
        <v>1</v>
      </c>
      <c r="W25">
        <v>0</v>
      </c>
      <c r="X25">
        <v>926129165</v>
      </c>
      <c r="Y25">
        <v>14.9375</v>
      </c>
      <c r="AA25">
        <v>0</v>
      </c>
      <c r="AB25">
        <v>80.52</v>
      </c>
      <c r="AC25">
        <v>11.38</v>
      </c>
      <c r="AD25">
        <v>0</v>
      </c>
      <c r="AE25">
        <v>0</v>
      </c>
      <c r="AF25">
        <v>80.52</v>
      </c>
      <c r="AG25">
        <v>11.38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11.95</v>
      </c>
      <c r="AU25" t="s">
        <v>11</v>
      </c>
      <c r="AV25">
        <v>0</v>
      </c>
      <c r="AW25">
        <v>2</v>
      </c>
      <c r="AX25">
        <v>52157011</v>
      </c>
      <c r="AY25">
        <v>1</v>
      </c>
      <c r="AZ25">
        <v>0</v>
      </c>
      <c r="BA25">
        <v>32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Y25*Source!I36</f>
        <v>1.7775624999999999</v>
      </c>
      <c r="CY25">
        <f>AB25</f>
        <v>80.52</v>
      </c>
      <c r="CZ25">
        <f>AF25</f>
        <v>80.52</v>
      </c>
      <c r="DA25">
        <f>AJ25</f>
        <v>1</v>
      </c>
      <c r="DB25">
        <f t="shared" si="5"/>
        <v>1202.76</v>
      </c>
      <c r="DC25">
        <f t="shared" si="6"/>
        <v>169.99</v>
      </c>
    </row>
    <row r="26" spans="1:107" x14ac:dyDescent="0.2">
      <c r="A26">
        <f>ROW(Source!A36)</f>
        <v>36</v>
      </c>
      <c r="B26">
        <v>52156631</v>
      </c>
      <c r="C26">
        <v>52156984</v>
      </c>
      <c r="D26">
        <v>45811486</v>
      </c>
      <c r="E26">
        <v>1</v>
      </c>
      <c r="F26">
        <v>1</v>
      </c>
      <c r="G26">
        <v>1</v>
      </c>
      <c r="H26">
        <v>2</v>
      </c>
      <c r="I26" t="s">
        <v>332</v>
      </c>
      <c r="J26" t="s">
        <v>333</v>
      </c>
      <c r="K26" t="s">
        <v>334</v>
      </c>
      <c r="L26">
        <v>45811227</v>
      </c>
      <c r="N26">
        <v>1013</v>
      </c>
      <c r="O26" t="s">
        <v>290</v>
      </c>
      <c r="P26" t="s">
        <v>290</v>
      </c>
      <c r="Q26">
        <v>1</v>
      </c>
      <c r="W26">
        <v>0</v>
      </c>
      <c r="X26">
        <v>1026580179</v>
      </c>
      <c r="Y26">
        <v>30.512499999999999</v>
      </c>
      <c r="AA26">
        <v>0</v>
      </c>
      <c r="AB26">
        <v>83.54</v>
      </c>
      <c r="AC26">
        <v>9.8800000000000008</v>
      </c>
      <c r="AD26">
        <v>0</v>
      </c>
      <c r="AE26">
        <v>0</v>
      </c>
      <c r="AF26">
        <v>83.54</v>
      </c>
      <c r="AG26">
        <v>9.8800000000000008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24.41</v>
      </c>
      <c r="AU26" t="s">
        <v>11</v>
      </c>
      <c r="AV26">
        <v>0</v>
      </c>
      <c r="AW26">
        <v>2</v>
      </c>
      <c r="AX26">
        <v>52157012</v>
      </c>
      <c r="AY26">
        <v>1</v>
      </c>
      <c r="AZ26">
        <v>0</v>
      </c>
      <c r="BA26">
        <v>33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Y26*Source!I36</f>
        <v>3.6309874999999998</v>
      </c>
      <c r="CY26">
        <f>AB26</f>
        <v>83.54</v>
      </c>
      <c r="CZ26">
        <f>AF26</f>
        <v>83.54</v>
      </c>
      <c r="DA26">
        <f>AJ26</f>
        <v>1</v>
      </c>
      <c r="DB26">
        <f t="shared" si="5"/>
        <v>2549.0100000000002</v>
      </c>
      <c r="DC26">
        <f t="shared" si="6"/>
        <v>301.45999999999998</v>
      </c>
    </row>
    <row r="27" spans="1:107" x14ac:dyDescent="0.2">
      <c r="A27">
        <f>ROW(Source!A36)</f>
        <v>36</v>
      </c>
      <c r="B27">
        <v>52156631</v>
      </c>
      <c r="C27">
        <v>52156984</v>
      </c>
      <c r="D27">
        <v>45813321</v>
      </c>
      <c r="E27">
        <v>1</v>
      </c>
      <c r="F27">
        <v>1</v>
      </c>
      <c r="G27">
        <v>1</v>
      </c>
      <c r="H27">
        <v>2</v>
      </c>
      <c r="I27" t="s">
        <v>302</v>
      </c>
      <c r="J27" t="s">
        <v>303</v>
      </c>
      <c r="K27" t="s">
        <v>304</v>
      </c>
      <c r="L27">
        <v>45811227</v>
      </c>
      <c r="N27">
        <v>1013</v>
      </c>
      <c r="O27" t="s">
        <v>290</v>
      </c>
      <c r="P27" t="s">
        <v>290</v>
      </c>
      <c r="Q27">
        <v>1</v>
      </c>
      <c r="W27">
        <v>0</v>
      </c>
      <c r="X27">
        <v>771999048</v>
      </c>
      <c r="Y27">
        <v>0.41250000000000003</v>
      </c>
      <c r="AA27">
        <v>0</v>
      </c>
      <c r="AB27">
        <v>86.55</v>
      </c>
      <c r="AC27">
        <v>0</v>
      </c>
      <c r="AD27">
        <v>0</v>
      </c>
      <c r="AE27">
        <v>0</v>
      </c>
      <c r="AF27">
        <v>86.55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0.33</v>
      </c>
      <c r="AU27" t="s">
        <v>11</v>
      </c>
      <c r="AV27">
        <v>0</v>
      </c>
      <c r="AW27">
        <v>2</v>
      </c>
      <c r="AX27">
        <v>52157013</v>
      </c>
      <c r="AY27">
        <v>1</v>
      </c>
      <c r="AZ27">
        <v>0</v>
      </c>
      <c r="BA27">
        <v>34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Y27*Source!I36</f>
        <v>4.9087499999999999E-2</v>
      </c>
      <c r="CY27">
        <f>AB27</f>
        <v>86.55</v>
      </c>
      <c r="CZ27">
        <f>AF27</f>
        <v>86.55</v>
      </c>
      <c r="DA27">
        <f>AJ27</f>
        <v>1</v>
      </c>
      <c r="DB27">
        <f t="shared" si="5"/>
        <v>35.700000000000003</v>
      </c>
      <c r="DC27">
        <f t="shared" si="6"/>
        <v>0</v>
      </c>
    </row>
    <row r="28" spans="1:107" x14ac:dyDescent="0.2">
      <c r="A28">
        <f>ROW(Source!A36)</f>
        <v>36</v>
      </c>
      <c r="B28">
        <v>52156631</v>
      </c>
      <c r="C28">
        <v>52156984</v>
      </c>
      <c r="D28">
        <v>45829916</v>
      </c>
      <c r="E28">
        <v>1</v>
      </c>
      <c r="F28">
        <v>1</v>
      </c>
      <c r="G28">
        <v>1</v>
      </c>
      <c r="H28">
        <v>3</v>
      </c>
      <c r="I28" t="s">
        <v>70</v>
      </c>
      <c r="J28" t="s">
        <v>72</v>
      </c>
      <c r="K28" t="s">
        <v>71</v>
      </c>
      <c r="L28">
        <v>1354</v>
      </c>
      <c r="N28">
        <v>1010</v>
      </c>
      <c r="O28" t="s">
        <v>37</v>
      </c>
      <c r="P28" t="s">
        <v>37</v>
      </c>
      <c r="Q28">
        <v>1</v>
      </c>
      <c r="W28">
        <v>0</v>
      </c>
      <c r="X28">
        <v>-866973532</v>
      </c>
      <c r="Y28">
        <v>16.806723000000002</v>
      </c>
      <c r="AA28">
        <v>31.7</v>
      </c>
      <c r="AB28">
        <v>0</v>
      </c>
      <c r="AC28">
        <v>0</v>
      </c>
      <c r="AD28">
        <v>0</v>
      </c>
      <c r="AE28">
        <v>31.7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3</v>
      </c>
      <c r="AT28">
        <v>16.806723000000002</v>
      </c>
      <c r="AU28" t="s">
        <v>3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Y28*Source!I36</f>
        <v>2.000000037</v>
      </c>
      <c r="CY28">
        <f t="shared" ref="CY28:CY40" si="7">AA28</f>
        <v>31.7</v>
      </c>
      <c r="CZ28">
        <f t="shared" ref="CZ28:CZ40" si="8">AE28</f>
        <v>31.7</v>
      </c>
      <c r="DA28">
        <f t="shared" ref="DA28:DA40" si="9">AI28</f>
        <v>1</v>
      </c>
      <c r="DB28">
        <f t="shared" ref="DB28:DB40" si="10">ROUND(ROUND(AT28*CZ28,2),2)</f>
        <v>532.77</v>
      </c>
      <c r="DC28">
        <f t="shared" ref="DC28:DC40" si="11">ROUND(ROUND(AT28*AG28,2),2)</f>
        <v>0</v>
      </c>
    </row>
    <row r="29" spans="1:107" x14ac:dyDescent="0.2">
      <c r="A29">
        <f>ROW(Source!A36)</f>
        <v>36</v>
      </c>
      <c r="B29">
        <v>52156631</v>
      </c>
      <c r="C29">
        <v>52156984</v>
      </c>
      <c r="D29">
        <v>45829934</v>
      </c>
      <c r="E29">
        <v>1</v>
      </c>
      <c r="F29">
        <v>1</v>
      </c>
      <c r="G29">
        <v>1</v>
      </c>
      <c r="H29">
        <v>3</v>
      </c>
      <c r="I29" t="s">
        <v>85</v>
      </c>
      <c r="J29" t="s">
        <v>87</v>
      </c>
      <c r="K29" t="s">
        <v>86</v>
      </c>
      <c r="L29">
        <v>1354</v>
      </c>
      <c r="N29">
        <v>1010</v>
      </c>
      <c r="O29" t="s">
        <v>37</v>
      </c>
      <c r="P29" t="s">
        <v>37</v>
      </c>
      <c r="Q29">
        <v>1</v>
      </c>
      <c r="W29">
        <v>0</v>
      </c>
      <c r="X29">
        <v>875201068</v>
      </c>
      <c r="Y29">
        <v>67.226890999999995</v>
      </c>
      <c r="AA29">
        <v>32.32</v>
      </c>
      <c r="AB29">
        <v>0</v>
      </c>
      <c r="AC29">
        <v>0</v>
      </c>
      <c r="AD29">
        <v>0</v>
      </c>
      <c r="AE29">
        <v>32.32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0</v>
      </c>
      <c r="AP29">
        <v>0</v>
      </c>
      <c r="AQ29">
        <v>0</v>
      </c>
      <c r="AR29">
        <v>0</v>
      </c>
      <c r="AS29" t="s">
        <v>3</v>
      </c>
      <c r="AT29">
        <v>67.226890999999995</v>
      </c>
      <c r="AU29" t="s">
        <v>3</v>
      </c>
      <c r="AV29">
        <v>0</v>
      </c>
      <c r="AW29">
        <v>1</v>
      </c>
      <c r="AX29">
        <v>-1</v>
      </c>
      <c r="AY29">
        <v>0</v>
      </c>
      <c r="AZ29">
        <v>0</v>
      </c>
      <c r="BA29" t="s">
        <v>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Y29*Source!I36</f>
        <v>8.0000000289999988</v>
      </c>
      <c r="CY29">
        <f t="shared" si="7"/>
        <v>32.32</v>
      </c>
      <c r="CZ29">
        <f t="shared" si="8"/>
        <v>32.32</v>
      </c>
      <c r="DA29">
        <f t="shared" si="9"/>
        <v>1</v>
      </c>
      <c r="DB29">
        <f t="shared" si="10"/>
        <v>2172.77</v>
      </c>
      <c r="DC29">
        <f t="shared" si="11"/>
        <v>0</v>
      </c>
    </row>
    <row r="30" spans="1:107" x14ac:dyDescent="0.2">
      <c r="A30">
        <f>ROW(Source!A36)</f>
        <v>36</v>
      </c>
      <c r="B30">
        <v>52156631</v>
      </c>
      <c r="C30">
        <v>52156984</v>
      </c>
      <c r="D30">
        <v>45829970</v>
      </c>
      <c r="E30">
        <v>1</v>
      </c>
      <c r="F30">
        <v>1</v>
      </c>
      <c r="G30">
        <v>1</v>
      </c>
      <c r="H30">
        <v>3</v>
      </c>
      <c r="I30" t="s">
        <v>89</v>
      </c>
      <c r="J30" t="s">
        <v>92</v>
      </c>
      <c r="K30" t="s">
        <v>90</v>
      </c>
      <c r="L30">
        <v>1035</v>
      </c>
      <c r="N30">
        <v>1013</v>
      </c>
      <c r="O30" t="s">
        <v>91</v>
      </c>
      <c r="P30" t="s">
        <v>91</v>
      </c>
      <c r="Q30">
        <v>1</v>
      </c>
      <c r="W30">
        <v>1</v>
      </c>
      <c r="X30">
        <v>2031122623</v>
      </c>
      <c r="Y30">
        <v>-2</v>
      </c>
      <c r="AA30">
        <v>226.87</v>
      </c>
      <c r="AB30">
        <v>0</v>
      </c>
      <c r="AC30">
        <v>0</v>
      </c>
      <c r="AD30">
        <v>0</v>
      </c>
      <c r="AE30">
        <v>226.87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-2</v>
      </c>
      <c r="AU30" t="s">
        <v>3</v>
      </c>
      <c r="AV30">
        <v>0</v>
      </c>
      <c r="AW30">
        <v>2</v>
      </c>
      <c r="AX30">
        <v>52157015</v>
      </c>
      <c r="AY30">
        <v>1</v>
      </c>
      <c r="AZ30">
        <v>6144</v>
      </c>
      <c r="BA30">
        <v>36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Y30*Source!I36</f>
        <v>-0.23799999999999999</v>
      </c>
      <c r="CY30">
        <f t="shared" si="7"/>
        <v>226.87</v>
      </c>
      <c r="CZ30">
        <f t="shared" si="8"/>
        <v>226.87</v>
      </c>
      <c r="DA30">
        <f t="shared" si="9"/>
        <v>1</v>
      </c>
      <c r="DB30">
        <f t="shared" si="10"/>
        <v>-453.74</v>
      </c>
      <c r="DC30">
        <f t="shared" si="11"/>
        <v>0</v>
      </c>
    </row>
    <row r="31" spans="1:107" x14ac:dyDescent="0.2">
      <c r="A31">
        <f>ROW(Source!A36)</f>
        <v>36</v>
      </c>
      <c r="B31">
        <v>52156631</v>
      </c>
      <c r="C31">
        <v>52156984</v>
      </c>
      <c r="D31">
        <v>45829972</v>
      </c>
      <c r="E31">
        <v>1</v>
      </c>
      <c r="F31">
        <v>1</v>
      </c>
      <c r="G31">
        <v>1</v>
      </c>
      <c r="H31">
        <v>3</v>
      </c>
      <c r="I31" t="s">
        <v>94</v>
      </c>
      <c r="J31" t="s">
        <v>96</v>
      </c>
      <c r="K31" t="s">
        <v>95</v>
      </c>
      <c r="L31">
        <v>1035</v>
      </c>
      <c r="N31">
        <v>1013</v>
      </c>
      <c r="O31" t="s">
        <v>91</v>
      </c>
      <c r="P31" t="s">
        <v>91</v>
      </c>
      <c r="Q31">
        <v>1</v>
      </c>
      <c r="W31">
        <v>1</v>
      </c>
      <c r="X31">
        <v>1389074853</v>
      </c>
      <c r="Y31">
        <v>-29</v>
      </c>
      <c r="AA31">
        <v>155.47</v>
      </c>
      <c r="AB31">
        <v>0</v>
      </c>
      <c r="AC31">
        <v>0</v>
      </c>
      <c r="AD31">
        <v>0</v>
      </c>
      <c r="AE31">
        <v>155.47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-29</v>
      </c>
      <c r="AU31" t="s">
        <v>3</v>
      </c>
      <c r="AV31">
        <v>0</v>
      </c>
      <c r="AW31">
        <v>2</v>
      </c>
      <c r="AX31">
        <v>52157016</v>
      </c>
      <c r="AY31">
        <v>1</v>
      </c>
      <c r="AZ31">
        <v>6144</v>
      </c>
      <c r="BA31">
        <v>37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Y31*Source!I36</f>
        <v>-3.4509999999999996</v>
      </c>
      <c r="CY31">
        <f t="shared" si="7"/>
        <v>155.47</v>
      </c>
      <c r="CZ31">
        <f t="shared" si="8"/>
        <v>155.47</v>
      </c>
      <c r="DA31">
        <f t="shared" si="9"/>
        <v>1</v>
      </c>
      <c r="DB31">
        <f t="shared" si="10"/>
        <v>-4508.63</v>
      </c>
      <c r="DC31">
        <f t="shared" si="11"/>
        <v>0</v>
      </c>
    </row>
    <row r="32" spans="1:107" x14ac:dyDescent="0.2">
      <c r="A32">
        <f>ROW(Source!A36)</f>
        <v>36</v>
      </c>
      <c r="B32">
        <v>52156631</v>
      </c>
      <c r="C32">
        <v>52156984</v>
      </c>
      <c r="D32">
        <v>45829973</v>
      </c>
      <c r="E32">
        <v>1</v>
      </c>
      <c r="F32">
        <v>1</v>
      </c>
      <c r="G32">
        <v>1</v>
      </c>
      <c r="H32">
        <v>3</v>
      </c>
      <c r="I32" t="s">
        <v>64</v>
      </c>
      <c r="J32" t="s">
        <v>48</v>
      </c>
      <c r="K32" t="s">
        <v>65</v>
      </c>
      <c r="L32">
        <v>1354</v>
      </c>
      <c r="N32">
        <v>1010</v>
      </c>
      <c r="O32" t="s">
        <v>37</v>
      </c>
      <c r="P32" t="s">
        <v>37</v>
      </c>
      <c r="Q32">
        <v>1</v>
      </c>
      <c r="W32">
        <v>0</v>
      </c>
      <c r="X32">
        <v>1980259496</v>
      </c>
      <c r="Y32">
        <v>100.84033599999999</v>
      </c>
      <c r="AA32">
        <v>2.06</v>
      </c>
      <c r="AB32">
        <v>0</v>
      </c>
      <c r="AC32">
        <v>0</v>
      </c>
      <c r="AD32">
        <v>0</v>
      </c>
      <c r="AE32">
        <v>2.06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0</v>
      </c>
      <c r="AP32">
        <v>0</v>
      </c>
      <c r="AQ32">
        <v>0</v>
      </c>
      <c r="AR32">
        <v>0</v>
      </c>
      <c r="AS32" t="s">
        <v>3</v>
      </c>
      <c r="AT32">
        <v>100.84033599999999</v>
      </c>
      <c r="AU32" t="s">
        <v>3</v>
      </c>
      <c r="AV32">
        <v>0</v>
      </c>
      <c r="AW32">
        <v>2</v>
      </c>
      <c r="AX32">
        <v>52157017</v>
      </c>
      <c r="AY32">
        <v>1</v>
      </c>
      <c r="AZ32">
        <v>6144</v>
      </c>
      <c r="BA32">
        <v>38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Y32*Source!I36</f>
        <v>11.999999983999999</v>
      </c>
      <c r="CY32">
        <f t="shared" si="7"/>
        <v>2.06</v>
      </c>
      <c r="CZ32">
        <f t="shared" si="8"/>
        <v>2.06</v>
      </c>
      <c r="DA32">
        <f t="shared" si="9"/>
        <v>1</v>
      </c>
      <c r="DB32">
        <f t="shared" si="10"/>
        <v>207.73</v>
      </c>
      <c r="DC32">
        <f t="shared" si="11"/>
        <v>0</v>
      </c>
    </row>
    <row r="33" spans="1:107" x14ac:dyDescent="0.2">
      <c r="A33">
        <f>ROW(Source!A36)</f>
        <v>36</v>
      </c>
      <c r="B33">
        <v>52156631</v>
      </c>
      <c r="C33">
        <v>52156984</v>
      </c>
      <c r="D33">
        <v>45829974</v>
      </c>
      <c r="E33">
        <v>1</v>
      </c>
      <c r="F33">
        <v>1</v>
      </c>
      <c r="G33">
        <v>1</v>
      </c>
      <c r="H33">
        <v>3</v>
      </c>
      <c r="I33" t="s">
        <v>335</v>
      </c>
      <c r="J33" t="s">
        <v>336</v>
      </c>
      <c r="K33" t="s">
        <v>337</v>
      </c>
      <c r="L33">
        <v>1354</v>
      </c>
      <c r="N33">
        <v>1010</v>
      </c>
      <c r="O33" t="s">
        <v>37</v>
      </c>
      <c r="P33" t="s">
        <v>37</v>
      </c>
      <c r="Q33">
        <v>1</v>
      </c>
      <c r="W33">
        <v>0</v>
      </c>
      <c r="X33">
        <v>-200512271</v>
      </c>
      <c r="Y33">
        <v>1.8</v>
      </c>
      <c r="AA33">
        <v>920.66</v>
      </c>
      <c r="AB33">
        <v>0</v>
      </c>
      <c r="AC33">
        <v>0</v>
      </c>
      <c r="AD33">
        <v>0</v>
      </c>
      <c r="AE33">
        <v>920.66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1.8</v>
      </c>
      <c r="AU33" t="s">
        <v>3</v>
      </c>
      <c r="AV33">
        <v>0</v>
      </c>
      <c r="AW33">
        <v>2</v>
      </c>
      <c r="AX33">
        <v>52157018</v>
      </c>
      <c r="AY33">
        <v>1</v>
      </c>
      <c r="AZ33">
        <v>0</v>
      </c>
      <c r="BA33">
        <v>39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Y33*Source!I36</f>
        <v>0.2142</v>
      </c>
      <c r="CY33">
        <f t="shared" si="7"/>
        <v>920.66</v>
      </c>
      <c r="CZ33">
        <f t="shared" si="8"/>
        <v>920.66</v>
      </c>
      <c r="DA33">
        <f t="shared" si="9"/>
        <v>1</v>
      </c>
      <c r="DB33">
        <f t="shared" si="10"/>
        <v>1657.19</v>
      </c>
      <c r="DC33">
        <f t="shared" si="11"/>
        <v>0</v>
      </c>
    </row>
    <row r="34" spans="1:107" x14ac:dyDescent="0.2">
      <c r="A34">
        <f>ROW(Source!A36)</f>
        <v>36</v>
      </c>
      <c r="B34">
        <v>52156631</v>
      </c>
      <c r="C34">
        <v>52156984</v>
      </c>
      <c r="D34">
        <v>45829975</v>
      </c>
      <c r="E34">
        <v>1</v>
      </c>
      <c r="F34">
        <v>1</v>
      </c>
      <c r="G34">
        <v>1</v>
      </c>
      <c r="H34">
        <v>3</v>
      </c>
      <c r="I34" t="s">
        <v>338</v>
      </c>
      <c r="J34" t="s">
        <v>339</v>
      </c>
      <c r="K34" t="s">
        <v>340</v>
      </c>
      <c r="L34">
        <v>1354</v>
      </c>
      <c r="N34">
        <v>1010</v>
      </c>
      <c r="O34" t="s">
        <v>37</v>
      </c>
      <c r="P34" t="s">
        <v>37</v>
      </c>
      <c r="Q34">
        <v>1</v>
      </c>
      <c r="W34">
        <v>0</v>
      </c>
      <c r="X34">
        <v>-1522331438</v>
      </c>
      <c r="Y34">
        <v>62</v>
      </c>
      <c r="AA34">
        <v>5.48</v>
      </c>
      <c r="AB34">
        <v>0</v>
      </c>
      <c r="AC34">
        <v>0</v>
      </c>
      <c r="AD34">
        <v>0</v>
      </c>
      <c r="AE34">
        <v>5.48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62</v>
      </c>
      <c r="AU34" t="s">
        <v>3</v>
      </c>
      <c r="AV34">
        <v>0</v>
      </c>
      <c r="AW34">
        <v>2</v>
      </c>
      <c r="AX34">
        <v>52157019</v>
      </c>
      <c r="AY34">
        <v>1</v>
      </c>
      <c r="AZ34">
        <v>0</v>
      </c>
      <c r="BA34">
        <v>40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Y34*Source!I36</f>
        <v>7.3780000000000001</v>
      </c>
      <c r="CY34">
        <f t="shared" si="7"/>
        <v>5.48</v>
      </c>
      <c r="CZ34">
        <f t="shared" si="8"/>
        <v>5.48</v>
      </c>
      <c r="DA34">
        <f t="shared" si="9"/>
        <v>1</v>
      </c>
      <c r="DB34">
        <f t="shared" si="10"/>
        <v>339.76</v>
      </c>
      <c r="DC34">
        <f t="shared" si="11"/>
        <v>0</v>
      </c>
    </row>
    <row r="35" spans="1:107" x14ac:dyDescent="0.2">
      <c r="A35">
        <f>ROW(Source!A36)</f>
        <v>36</v>
      </c>
      <c r="B35">
        <v>52156631</v>
      </c>
      <c r="C35">
        <v>52156984</v>
      </c>
      <c r="D35">
        <v>45871491</v>
      </c>
      <c r="E35">
        <v>1</v>
      </c>
      <c r="F35">
        <v>1</v>
      </c>
      <c r="G35">
        <v>1</v>
      </c>
      <c r="H35">
        <v>3</v>
      </c>
      <c r="I35" t="s">
        <v>81</v>
      </c>
      <c r="J35" t="s">
        <v>83</v>
      </c>
      <c r="K35" t="s">
        <v>82</v>
      </c>
      <c r="L35">
        <v>1477</v>
      </c>
      <c r="N35">
        <v>1013</v>
      </c>
      <c r="O35" t="s">
        <v>42</v>
      </c>
      <c r="P35" t="s">
        <v>44</v>
      </c>
      <c r="Q35">
        <v>1</v>
      </c>
      <c r="W35">
        <v>0</v>
      </c>
      <c r="X35">
        <v>-433544038</v>
      </c>
      <c r="Y35">
        <v>1.02</v>
      </c>
      <c r="AA35">
        <v>12292.07</v>
      </c>
      <c r="AB35">
        <v>0</v>
      </c>
      <c r="AC35">
        <v>0</v>
      </c>
      <c r="AD35">
        <v>0</v>
      </c>
      <c r="AE35">
        <v>12292.07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1.02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Y35*Source!I36</f>
        <v>0.12138</v>
      </c>
      <c r="CY35">
        <f t="shared" si="7"/>
        <v>12292.07</v>
      </c>
      <c r="CZ35">
        <f t="shared" si="8"/>
        <v>12292.07</v>
      </c>
      <c r="DA35">
        <f t="shared" si="9"/>
        <v>1</v>
      </c>
      <c r="DB35">
        <f t="shared" si="10"/>
        <v>12537.91</v>
      </c>
      <c r="DC35">
        <f t="shared" si="11"/>
        <v>0</v>
      </c>
    </row>
    <row r="36" spans="1:107" x14ac:dyDescent="0.2">
      <c r="A36">
        <f>ROW(Source!A36)</f>
        <v>36</v>
      </c>
      <c r="B36">
        <v>52156631</v>
      </c>
      <c r="C36">
        <v>52156984</v>
      </c>
      <c r="D36">
        <v>45880955</v>
      </c>
      <c r="E36">
        <v>1</v>
      </c>
      <c r="F36">
        <v>1</v>
      </c>
      <c r="G36">
        <v>1</v>
      </c>
      <c r="H36">
        <v>3</v>
      </c>
      <c r="I36" t="s">
        <v>74</v>
      </c>
      <c r="J36" t="s">
        <v>76</v>
      </c>
      <c r="K36" t="s">
        <v>75</v>
      </c>
      <c r="L36">
        <v>1354</v>
      </c>
      <c r="N36">
        <v>1010</v>
      </c>
      <c r="O36" t="s">
        <v>37</v>
      </c>
      <c r="P36" t="s">
        <v>37</v>
      </c>
      <c r="Q36">
        <v>1</v>
      </c>
      <c r="W36">
        <v>0</v>
      </c>
      <c r="X36">
        <v>-216975290</v>
      </c>
      <c r="Y36">
        <v>50.420167999999997</v>
      </c>
      <c r="AA36">
        <v>11.6</v>
      </c>
      <c r="AB36">
        <v>0</v>
      </c>
      <c r="AC36">
        <v>0</v>
      </c>
      <c r="AD36">
        <v>0</v>
      </c>
      <c r="AE36">
        <v>11.6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0</v>
      </c>
      <c r="AP36">
        <v>0</v>
      </c>
      <c r="AQ36">
        <v>0</v>
      </c>
      <c r="AR36">
        <v>0</v>
      </c>
      <c r="AS36" t="s">
        <v>3</v>
      </c>
      <c r="AT36">
        <v>50.420167999999997</v>
      </c>
      <c r="AU36" t="s">
        <v>3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Y36*Source!I36</f>
        <v>5.9999999919999993</v>
      </c>
      <c r="CY36">
        <f t="shared" si="7"/>
        <v>11.6</v>
      </c>
      <c r="CZ36">
        <f t="shared" si="8"/>
        <v>11.6</v>
      </c>
      <c r="DA36">
        <f t="shared" si="9"/>
        <v>1</v>
      </c>
      <c r="DB36">
        <f t="shared" si="10"/>
        <v>584.87</v>
      </c>
      <c r="DC36">
        <f t="shared" si="11"/>
        <v>0</v>
      </c>
    </row>
    <row r="37" spans="1:107" x14ac:dyDescent="0.2">
      <c r="A37">
        <f>ROW(Source!A36)</f>
        <v>36</v>
      </c>
      <c r="B37">
        <v>52156631</v>
      </c>
      <c r="C37">
        <v>52156984</v>
      </c>
      <c r="D37">
        <v>0</v>
      </c>
      <c r="E37">
        <v>1</v>
      </c>
      <c r="F37">
        <v>1</v>
      </c>
      <c r="G37">
        <v>1</v>
      </c>
      <c r="H37">
        <v>3</v>
      </c>
      <c r="I37" t="s">
        <v>46</v>
      </c>
      <c r="J37" t="s">
        <v>48</v>
      </c>
      <c r="K37" t="s">
        <v>47</v>
      </c>
      <c r="L37">
        <v>1354</v>
      </c>
      <c r="N37">
        <v>1010</v>
      </c>
      <c r="O37" t="s">
        <v>37</v>
      </c>
      <c r="P37" t="s">
        <v>37</v>
      </c>
      <c r="Q37">
        <v>1</v>
      </c>
      <c r="W37">
        <v>0</v>
      </c>
      <c r="X37">
        <v>85627560</v>
      </c>
      <c r="Y37">
        <v>42.016807</v>
      </c>
      <c r="AA37">
        <v>35.61</v>
      </c>
      <c r="AB37">
        <v>0</v>
      </c>
      <c r="AC37">
        <v>0</v>
      </c>
      <c r="AD37">
        <v>0</v>
      </c>
      <c r="AE37">
        <v>35.61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 t="s">
        <v>3</v>
      </c>
      <c r="AT37">
        <v>42.016807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Y37*Source!I36</f>
        <v>5.0000000330000001</v>
      </c>
      <c r="CY37">
        <f t="shared" si="7"/>
        <v>35.61</v>
      </c>
      <c r="CZ37">
        <f t="shared" si="8"/>
        <v>35.61</v>
      </c>
      <c r="DA37">
        <f t="shared" si="9"/>
        <v>1</v>
      </c>
      <c r="DB37">
        <f t="shared" si="10"/>
        <v>1496.22</v>
      </c>
      <c r="DC37">
        <f t="shared" si="11"/>
        <v>0</v>
      </c>
    </row>
    <row r="38" spans="1:107" x14ac:dyDescent="0.2">
      <c r="A38">
        <f>ROW(Source!A36)</f>
        <v>36</v>
      </c>
      <c r="B38">
        <v>52156631</v>
      </c>
      <c r="C38">
        <v>52156984</v>
      </c>
      <c r="D38">
        <v>0</v>
      </c>
      <c r="E38">
        <v>1</v>
      </c>
      <c r="F38">
        <v>1</v>
      </c>
      <c r="G38">
        <v>1</v>
      </c>
      <c r="H38">
        <v>3</v>
      </c>
      <c r="I38" t="s">
        <v>52</v>
      </c>
      <c r="J38" t="s">
        <v>48</v>
      </c>
      <c r="K38" t="s">
        <v>53</v>
      </c>
      <c r="L38">
        <v>1354</v>
      </c>
      <c r="N38">
        <v>1010</v>
      </c>
      <c r="O38" t="s">
        <v>37</v>
      </c>
      <c r="P38" t="s">
        <v>37</v>
      </c>
      <c r="Q38">
        <v>1</v>
      </c>
      <c r="W38">
        <v>0</v>
      </c>
      <c r="X38">
        <v>-1506632408</v>
      </c>
      <c r="Y38">
        <v>42.016807</v>
      </c>
      <c r="AA38">
        <v>11.92</v>
      </c>
      <c r="AB38">
        <v>0</v>
      </c>
      <c r="AC38">
        <v>0</v>
      </c>
      <c r="AD38">
        <v>0</v>
      </c>
      <c r="AE38">
        <v>11.92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3</v>
      </c>
      <c r="AT38">
        <v>42.016807</v>
      </c>
      <c r="AU38" t="s">
        <v>3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Y38*Source!I36</f>
        <v>5.0000000330000001</v>
      </c>
      <c r="CY38">
        <f t="shared" si="7"/>
        <v>11.92</v>
      </c>
      <c r="CZ38">
        <f t="shared" si="8"/>
        <v>11.92</v>
      </c>
      <c r="DA38">
        <f t="shared" si="9"/>
        <v>1</v>
      </c>
      <c r="DB38">
        <f t="shared" si="10"/>
        <v>500.84</v>
      </c>
      <c r="DC38">
        <f t="shared" si="11"/>
        <v>0</v>
      </c>
    </row>
    <row r="39" spans="1:107" x14ac:dyDescent="0.2">
      <c r="A39">
        <f>ROW(Source!A36)</f>
        <v>36</v>
      </c>
      <c r="B39">
        <v>52156631</v>
      </c>
      <c r="C39">
        <v>52156984</v>
      </c>
      <c r="D39">
        <v>0</v>
      </c>
      <c r="E39">
        <v>1</v>
      </c>
      <c r="F39">
        <v>1</v>
      </c>
      <c r="G39">
        <v>1</v>
      </c>
      <c r="H39">
        <v>3</v>
      </c>
      <c r="I39" t="s">
        <v>56</v>
      </c>
      <c r="J39" t="s">
        <v>48</v>
      </c>
      <c r="K39" t="s">
        <v>57</v>
      </c>
      <c r="L39">
        <v>1354</v>
      </c>
      <c r="N39">
        <v>1010</v>
      </c>
      <c r="O39" t="s">
        <v>37</v>
      </c>
      <c r="P39" t="s">
        <v>37</v>
      </c>
      <c r="Q39">
        <v>1</v>
      </c>
      <c r="W39">
        <v>0</v>
      </c>
      <c r="X39">
        <v>-1765541741</v>
      </c>
      <c r="Y39">
        <v>67.226890999999995</v>
      </c>
      <c r="AA39">
        <v>24.7</v>
      </c>
      <c r="AB39">
        <v>0</v>
      </c>
      <c r="AC39">
        <v>0</v>
      </c>
      <c r="AD39">
        <v>0</v>
      </c>
      <c r="AE39">
        <v>24.7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0</v>
      </c>
      <c r="AP39">
        <v>0</v>
      </c>
      <c r="AQ39">
        <v>0</v>
      </c>
      <c r="AR39">
        <v>0</v>
      </c>
      <c r="AS39" t="s">
        <v>3</v>
      </c>
      <c r="AT39">
        <v>67.226890999999995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Y39*Source!I36</f>
        <v>8.0000000289999988</v>
      </c>
      <c r="CY39">
        <f t="shared" si="7"/>
        <v>24.7</v>
      </c>
      <c r="CZ39">
        <f t="shared" si="8"/>
        <v>24.7</v>
      </c>
      <c r="DA39">
        <f t="shared" si="9"/>
        <v>1</v>
      </c>
      <c r="DB39">
        <f t="shared" si="10"/>
        <v>1660.5</v>
      </c>
      <c r="DC39">
        <f t="shared" si="11"/>
        <v>0</v>
      </c>
    </row>
    <row r="40" spans="1:107" x14ac:dyDescent="0.2">
      <c r="A40">
        <f>ROW(Source!A36)</f>
        <v>36</v>
      </c>
      <c r="B40">
        <v>52156631</v>
      </c>
      <c r="C40">
        <v>52156984</v>
      </c>
      <c r="D40">
        <v>0</v>
      </c>
      <c r="E40">
        <v>1</v>
      </c>
      <c r="F40">
        <v>1</v>
      </c>
      <c r="G40">
        <v>1</v>
      </c>
      <c r="H40">
        <v>3</v>
      </c>
      <c r="I40" t="s">
        <v>60</v>
      </c>
      <c r="J40" t="s">
        <v>48</v>
      </c>
      <c r="K40" t="s">
        <v>61</v>
      </c>
      <c r="L40">
        <v>1354</v>
      </c>
      <c r="N40">
        <v>1010</v>
      </c>
      <c r="O40" t="s">
        <v>37</v>
      </c>
      <c r="P40" t="s">
        <v>37</v>
      </c>
      <c r="Q40">
        <v>1</v>
      </c>
      <c r="W40">
        <v>0</v>
      </c>
      <c r="X40">
        <v>801659528</v>
      </c>
      <c r="Y40">
        <v>126.05042</v>
      </c>
      <c r="AA40">
        <v>21.77</v>
      </c>
      <c r="AB40">
        <v>0</v>
      </c>
      <c r="AC40">
        <v>0</v>
      </c>
      <c r="AD40">
        <v>0</v>
      </c>
      <c r="AE40">
        <v>21.77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0</v>
      </c>
      <c r="AP40">
        <v>0</v>
      </c>
      <c r="AQ40">
        <v>0</v>
      </c>
      <c r="AR40">
        <v>0</v>
      </c>
      <c r="AS40" t="s">
        <v>3</v>
      </c>
      <c r="AT40">
        <v>126.05042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Y40*Source!I36</f>
        <v>14.99999998</v>
      </c>
      <c r="CY40">
        <f t="shared" si="7"/>
        <v>21.77</v>
      </c>
      <c r="CZ40">
        <f t="shared" si="8"/>
        <v>21.77</v>
      </c>
      <c r="DA40">
        <f t="shared" si="9"/>
        <v>1</v>
      </c>
      <c r="DB40">
        <f t="shared" si="10"/>
        <v>2744.12</v>
      </c>
      <c r="DC40">
        <f t="shared" si="11"/>
        <v>0</v>
      </c>
    </row>
    <row r="41" spans="1:107" x14ac:dyDescent="0.2">
      <c r="A41">
        <f>ROW(Source!A48)</f>
        <v>48</v>
      </c>
      <c r="B41">
        <v>52156631</v>
      </c>
      <c r="C41">
        <v>52157034</v>
      </c>
      <c r="D41">
        <v>45976914</v>
      </c>
      <c r="E41">
        <v>1</v>
      </c>
      <c r="F41">
        <v>1</v>
      </c>
      <c r="G41">
        <v>1</v>
      </c>
      <c r="H41">
        <v>1</v>
      </c>
      <c r="I41" t="s">
        <v>341</v>
      </c>
      <c r="J41" t="s">
        <v>3</v>
      </c>
      <c r="K41" t="s">
        <v>342</v>
      </c>
      <c r="L41">
        <v>1476</v>
      </c>
      <c r="N41">
        <v>1013</v>
      </c>
      <c r="O41" t="s">
        <v>283</v>
      </c>
      <c r="P41" t="s">
        <v>284</v>
      </c>
      <c r="Q41">
        <v>1</v>
      </c>
      <c r="W41">
        <v>0</v>
      </c>
      <c r="X41">
        <v>1477335111</v>
      </c>
      <c r="Y41">
        <v>2.0699999999999998</v>
      </c>
      <c r="AA41">
        <v>0</v>
      </c>
      <c r="AB41">
        <v>0</v>
      </c>
      <c r="AC41">
        <v>0</v>
      </c>
      <c r="AD41">
        <v>6.88</v>
      </c>
      <c r="AE41">
        <v>0</v>
      </c>
      <c r="AF41">
        <v>0</v>
      </c>
      <c r="AG41">
        <v>0</v>
      </c>
      <c r="AH41">
        <v>6.88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1.8</v>
      </c>
      <c r="AU41" t="s">
        <v>12</v>
      </c>
      <c r="AV41">
        <v>1</v>
      </c>
      <c r="AW41">
        <v>2</v>
      </c>
      <c r="AX41">
        <v>52157042</v>
      </c>
      <c r="AY41">
        <v>1</v>
      </c>
      <c r="AZ41">
        <v>0</v>
      </c>
      <c r="BA41">
        <v>43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Y41*Source!I48</f>
        <v>6.2099999999999991</v>
      </c>
      <c r="CY41">
        <f>AD41</f>
        <v>6.88</v>
      </c>
      <c r="CZ41">
        <f>AH41</f>
        <v>6.88</v>
      </c>
      <c r="DA41">
        <f>AL41</f>
        <v>1</v>
      </c>
      <c r="DB41">
        <f>ROUND((ROUND(AT41*CZ41,2)*1.15),2)</f>
        <v>14.24</v>
      </c>
      <c r="DC41">
        <f>ROUND((ROUND(AT41*AG41,2)*1.15),2)</f>
        <v>0</v>
      </c>
    </row>
    <row r="42" spans="1:107" x14ac:dyDescent="0.2">
      <c r="A42">
        <f>ROW(Source!A48)</f>
        <v>48</v>
      </c>
      <c r="B42">
        <v>52156631</v>
      </c>
      <c r="C42">
        <v>52157034</v>
      </c>
      <c r="D42">
        <v>45811549</v>
      </c>
      <c r="E42">
        <v>1</v>
      </c>
      <c r="F42">
        <v>1</v>
      </c>
      <c r="G42">
        <v>1</v>
      </c>
      <c r="H42">
        <v>2</v>
      </c>
      <c r="I42" t="s">
        <v>343</v>
      </c>
      <c r="J42" t="s">
        <v>344</v>
      </c>
      <c r="K42" t="s">
        <v>345</v>
      </c>
      <c r="L42">
        <v>45811227</v>
      </c>
      <c r="N42">
        <v>1013</v>
      </c>
      <c r="O42" t="s">
        <v>290</v>
      </c>
      <c r="P42" t="s">
        <v>290</v>
      </c>
      <c r="Q42">
        <v>1</v>
      </c>
      <c r="W42">
        <v>0</v>
      </c>
      <c r="X42">
        <v>98904828</v>
      </c>
      <c r="Y42">
        <v>0.625</v>
      </c>
      <c r="AA42">
        <v>0</v>
      </c>
      <c r="AB42">
        <v>14</v>
      </c>
      <c r="AC42">
        <v>0</v>
      </c>
      <c r="AD42">
        <v>0</v>
      </c>
      <c r="AE42">
        <v>0</v>
      </c>
      <c r="AF42">
        <v>14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0.5</v>
      </c>
      <c r="AU42" t="s">
        <v>11</v>
      </c>
      <c r="AV42">
        <v>0</v>
      </c>
      <c r="AW42">
        <v>2</v>
      </c>
      <c r="AX42">
        <v>52157043</v>
      </c>
      <c r="AY42">
        <v>1</v>
      </c>
      <c r="AZ42">
        <v>0</v>
      </c>
      <c r="BA42">
        <v>44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Y42*Source!I48</f>
        <v>1.875</v>
      </c>
      <c r="CY42">
        <f>AB42</f>
        <v>14</v>
      </c>
      <c r="CZ42">
        <f>AF42</f>
        <v>14</v>
      </c>
      <c r="DA42">
        <f>AJ42</f>
        <v>1</v>
      </c>
      <c r="DB42">
        <f>ROUND((ROUND(AT42*CZ42,2)*1.25),2)</f>
        <v>8.75</v>
      </c>
      <c r="DC42">
        <f>ROUND((ROUND(AT42*AG42,2)*1.25),2)</f>
        <v>0</v>
      </c>
    </row>
    <row r="43" spans="1:107" x14ac:dyDescent="0.2">
      <c r="A43">
        <f>ROW(Source!A48)</f>
        <v>48</v>
      </c>
      <c r="B43">
        <v>52156631</v>
      </c>
      <c r="C43">
        <v>52157034</v>
      </c>
      <c r="D43">
        <v>45813321</v>
      </c>
      <c r="E43">
        <v>1</v>
      </c>
      <c r="F43">
        <v>1</v>
      </c>
      <c r="G43">
        <v>1</v>
      </c>
      <c r="H43">
        <v>2</v>
      </c>
      <c r="I43" t="s">
        <v>302</v>
      </c>
      <c r="J43" t="s">
        <v>303</v>
      </c>
      <c r="K43" t="s">
        <v>304</v>
      </c>
      <c r="L43">
        <v>45811227</v>
      </c>
      <c r="N43">
        <v>1013</v>
      </c>
      <c r="O43" t="s">
        <v>290</v>
      </c>
      <c r="P43" t="s">
        <v>290</v>
      </c>
      <c r="Q43">
        <v>1</v>
      </c>
      <c r="W43">
        <v>0</v>
      </c>
      <c r="X43">
        <v>771999048</v>
      </c>
      <c r="Y43">
        <v>0.125</v>
      </c>
      <c r="AA43">
        <v>0</v>
      </c>
      <c r="AB43">
        <v>86.55</v>
      </c>
      <c r="AC43">
        <v>0</v>
      </c>
      <c r="AD43">
        <v>0</v>
      </c>
      <c r="AE43">
        <v>0</v>
      </c>
      <c r="AF43">
        <v>86.55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</v>
      </c>
      <c r="AU43" t="s">
        <v>11</v>
      </c>
      <c r="AV43">
        <v>0</v>
      </c>
      <c r="AW43">
        <v>2</v>
      </c>
      <c r="AX43">
        <v>52157044</v>
      </c>
      <c r="AY43">
        <v>1</v>
      </c>
      <c r="AZ43">
        <v>0</v>
      </c>
      <c r="BA43">
        <v>45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Y43*Source!I48</f>
        <v>0.375</v>
      </c>
      <c r="CY43">
        <f>AB43</f>
        <v>86.55</v>
      </c>
      <c r="CZ43">
        <f>AF43</f>
        <v>86.55</v>
      </c>
      <c r="DA43">
        <f>AJ43</f>
        <v>1</v>
      </c>
      <c r="DB43">
        <f>ROUND((ROUND(AT43*CZ43,2)*1.25),2)</f>
        <v>10.83</v>
      </c>
      <c r="DC43">
        <f>ROUND((ROUND(AT43*AG43,2)*1.25),2)</f>
        <v>0</v>
      </c>
    </row>
    <row r="44" spans="1:107" x14ac:dyDescent="0.2">
      <c r="A44">
        <f>ROW(Source!A48)</f>
        <v>48</v>
      </c>
      <c r="B44">
        <v>52156631</v>
      </c>
      <c r="C44">
        <v>52157034</v>
      </c>
      <c r="D44">
        <v>45816006</v>
      </c>
      <c r="E44">
        <v>1</v>
      </c>
      <c r="F44">
        <v>1</v>
      </c>
      <c r="G44">
        <v>1</v>
      </c>
      <c r="H44">
        <v>3</v>
      </c>
      <c r="I44" t="s">
        <v>346</v>
      </c>
      <c r="J44" t="s">
        <v>347</v>
      </c>
      <c r="K44" t="s">
        <v>348</v>
      </c>
      <c r="L44">
        <v>1348</v>
      </c>
      <c r="N44">
        <v>1009</v>
      </c>
      <c r="O44" t="s">
        <v>105</v>
      </c>
      <c r="P44" t="s">
        <v>105</v>
      </c>
      <c r="Q44">
        <v>1000</v>
      </c>
      <c r="W44">
        <v>0</v>
      </c>
      <c r="X44">
        <v>-2027110039</v>
      </c>
      <c r="Y44">
        <v>1.2E-4</v>
      </c>
      <c r="AA44">
        <v>10324.77</v>
      </c>
      <c r="AB44">
        <v>0</v>
      </c>
      <c r="AC44">
        <v>0</v>
      </c>
      <c r="AD44">
        <v>0</v>
      </c>
      <c r="AE44">
        <v>10324.77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1.2E-4</v>
      </c>
      <c r="AU44" t="s">
        <v>3</v>
      </c>
      <c r="AV44">
        <v>0</v>
      </c>
      <c r="AW44">
        <v>2</v>
      </c>
      <c r="AX44">
        <v>52157045</v>
      </c>
      <c r="AY44">
        <v>1</v>
      </c>
      <c r="AZ44">
        <v>0</v>
      </c>
      <c r="BA44">
        <v>46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Y44*Source!I48</f>
        <v>3.6000000000000002E-4</v>
      </c>
      <c r="CY44">
        <f>AA44</f>
        <v>10324.77</v>
      </c>
      <c r="CZ44">
        <f>AE44</f>
        <v>10324.77</v>
      </c>
      <c r="DA44">
        <f>AI44</f>
        <v>1</v>
      </c>
      <c r="DB44">
        <f>ROUND(ROUND(AT44*CZ44,2),2)</f>
        <v>1.24</v>
      </c>
      <c r="DC44">
        <f>ROUND(ROUND(AT44*AG44,2),2)</f>
        <v>0</v>
      </c>
    </row>
    <row r="45" spans="1:107" x14ac:dyDescent="0.2">
      <c r="A45">
        <f>ROW(Source!A48)</f>
        <v>48</v>
      </c>
      <c r="B45">
        <v>52156631</v>
      </c>
      <c r="C45">
        <v>52157034</v>
      </c>
      <c r="D45">
        <v>45839524</v>
      </c>
      <c r="E45">
        <v>1</v>
      </c>
      <c r="F45">
        <v>1</v>
      </c>
      <c r="G45">
        <v>1</v>
      </c>
      <c r="H45">
        <v>3</v>
      </c>
      <c r="I45" t="s">
        <v>108</v>
      </c>
      <c r="J45" t="s">
        <v>110</v>
      </c>
      <c r="K45" t="s">
        <v>109</v>
      </c>
      <c r="L45">
        <v>1348</v>
      </c>
      <c r="N45">
        <v>1009</v>
      </c>
      <c r="O45" t="s">
        <v>105</v>
      </c>
      <c r="P45" t="s">
        <v>105</v>
      </c>
      <c r="Q45">
        <v>1000</v>
      </c>
      <c r="W45">
        <v>0</v>
      </c>
      <c r="X45">
        <v>-56661442</v>
      </c>
      <c r="Y45">
        <v>4.9300000000000004E-3</v>
      </c>
      <c r="AA45">
        <v>6240.48</v>
      </c>
      <c r="AB45">
        <v>0</v>
      </c>
      <c r="AC45">
        <v>0</v>
      </c>
      <c r="AD45">
        <v>0</v>
      </c>
      <c r="AE45">
        <v>6240.48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0</v>
      </c>
      <c r="AP45">
        <v>0</v>
      </c>
      <c r="AQ45">
        <v>0</v>
      </c>
      <c r="AR45">
        <v>0</v>
      </c>
      <c r="AS45" t="s">
        <v>3</v>
      </c>
      <c r="AT45">
        <v>4.9300000000000004E-3</v>
      </c>
      <c r="AU45" t="s">
        <v>3</v>
      </c>
      <c r="AV45">
        <v>0</v>
      </c>
      <c r="AW45">
        <v>1</v>
      </c>
      <c r="AX45">
        <v>-1</v>
      </c>
      <c r="AY45">
        <v>0</v>
      </c>
      <c r="AZ45">
        <v>0</v>
      </c>
      <c r="BA45" t="s">
        <v>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Y45*Source!I48</f>
        <v>1.4790000000000001E-2</v>
      </c>
      <c r="CY45">
        <f>AA45</f>
        <v>6240.48</v>
      </c>
      <c r="CZ45">
        <f>AE45</f>
        <v>6240.48</v>
      </c>
      <c r="DA45">
        <f>AI45</f>
        <v>1</v>
      </c>
      <c r="DB45">
        <f>ROUND(ROUND(AT45*CZ45,2),2)</f>
        <v>30.77</v>
      </c>
      <c r="DC45">
        <f>ROUND(ROUND(AT45*AG45,2),2)</f>
        <v>0</v>
      </c>
    </row>
    <row r="46" spans="1:107" x14ac:dyDescent="0.2">
      <c r="A46">
        <f>ROW(Source!A48)</f>
        <v>48</v>
      </c>
      <c r="B46">
        <v>52156631</v>
      </c>
      <c r="C46">
        <v>52157034</v>
      </c>
      <c r="D46">
        <v>45839525</v>
      </c>
      <c r="E46">
        <v>1</v>
      </c>
      <c r="F46">
        <v>1</v>
      </c>
      <c r="G46">
        <v>1</v>
      </c>
      <c r="H46">
        <v>3</v>
      </c>
      <c r="I46" t="s">
        <v>103</v>
      </c>
      <c r="J46" t="s">
        <v>106</v>
      </c>
      <c r="K46" t="s">
        <v>104</v>
      </c>
      <c r="L46">
        <v>1348</v>
      </c>
      <c r="N46">
        <v>1009</v>
      </c>
      <c r="O46" t="s">
        <v>105</v>
      </c>
      <c r="P46" t="s">
        <v>105</v>
      </c>
      <c r="Q46">
        <v>1000</v>
      </c>
      <c r="W46">
        <v>0</v>
      </c>
      <c r="X46">
        <v>-1380646413</v>
      </c>
      <c r="Y46">
        <v>4.6000000000000001E-4</v>
      </c>
      <c r="AA46">
        <v>6168</v>
      </c>
      <c r="AB46">
        <v>0</v>
      </c>
      <c r="AC46">
        <v>0</v>
      </c>
      <c r="AD46">
        <v>0</v>
      </c>
      <c r="AE46">
        <v>6168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0</v>
      </c>
      <c r="AP46">
        <v>0</v>
      </c>
      <c r="AQ46">
        <v>0</v>
      </c>
      <c r="AR46">
        <v>0</v>
      </c>
      <c r="AS46" t="s">
        <v>3</v>
      </c>
      <c r="AT46">
        <v>4.6000000000000001E-4</v>
      </c>
      <c r="AU46" t="s">
        <v>3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Y46*Source!I48</f>
        <v>1.3800000000000002E-3</v>
      </c>
      <c r="CY46">
        <f>AA46</f>
        <v>6168</v>
      </c>
      <c r="CZ46">
        <f>AE46</f>
        <v>6168</v>
      </c>
      <c r="DA46">
        <f>AI46</f>
        <v>1</v>
      </c>
      <c r="DB46">
        <f>ROUND(ROUND(AT46*CZ46,2),2)</f>
        <v>2.84</v>
      </c>
      <c r="DC46">
        <f>ROUND(ROUND(AT46*AG46,2),2)</f>
        <v>0</v>
      </c>
    </row>
    <row r="47" spans="1:107" x14ac:dyDescent="0.2">
      <c r="A47">
        <f>ROW(Source!A48)</f>
        <v>48</v>
      </c>
      <c r="B47">
        <v>52156631</v>
      </c>
      <c r="C47">
        <v>52157034</v>
      </c>
      <c r="D47">
        <v>0</v>
      </c>
      <c r="E47">
        <v>1</v>
      </c>
      <c r="F47">
        <v>1</v>
      </c>
      <c r="G47">
        <v>1</v>
      </c>
      <c r="H47">
        <v>3</v>
      </c>
      <c r="I47" t="s">
        <v>112</v>
      </c>
      <c r="J47" t="s">
        <v>48</v>
      </c>
      <c r="K47" t="s">
        <v>113</v>
      </c>
      <c r="L47">
        <v>1354</v>
      </c>
      <c r="N47">
        <v>1010</v>
      </c>
      <c r="O47" t="s">
        <v>37</v>
      </c>
      <c r="P47" t="s">
        <v>37</v>
      </c>
      <c r="Q47">
        <v>1</v>
      </c>
      <c r="W47">
        <v>0</v>
      </c>
      <c r="X47">
        <v>-1807843564</v>
      </c>
      <c r="Y47">
        <v>1.6666669999999999</v>
      </c>
      <c r="AA47">
        <v>23.45</v>
      </c>
      <c r="AB47">
        <v>0</v>
      </c>
      <c r="AC47">
        <v>0</v>
      </c>
      <c r="AD47">
        <v>0</v>
      </c>
      <c r="AE47">
        <v>23.45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1.6666669999999999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Y47*Source!I48</f>
        <v>5.0000009999999993</v>
      </c>
      <c r="CY47">
        <f>AA47</f>
        <v>23.45</v>
      </c>
      <c r="CZ47">
        <f>AE47</f>
        <v>23.45</v>
      </c>
      <c r="DA47">
        <f>AI47</f>
        <v>1</v>
      </c>
      <c r="DB47">
        <f>ROUND(ROUND(AT47*CZ47,2),2)</f>
        <v>39.08</v>
      </c>
      <c r="DC47">
        <f>ROUND(ROUND(AT47*AG47,2),2)</f>
        <v>0</v>
      </c>
    </row>
    <row r="48" spans="1:107" x14ac:dyDescent="0.2">
      <c r="A48">
        <f>ROW(Source!A52)</f>
        <v>52</v>
      </c>
      <c r="B48">
        <v>52156631</v>
      </c>
      <c r="C48">
        <v>52157050</v>
      </c>
      <c r="D48">
        <v>45976914</v>
      </c>
      <c r="E48">
        <v>1</v>
      </c>
      <c r="F48">
        <v>1</v>
      </c>
      <c r="G48">
        <v>1</v>
      </c>
      <c r="H48">
        <v>1</v>
      </c>
      <c r="I48" t="s">
        <v>341</v>
      </c>
      <c r="J48" t="s">
        <v>3</v>
      </c>
      <c r="K48" t="s">
        <v>342</v>
      </c>
      <c r="L48">
        <v>1476</v>
      </c>
      <c r="N48">
        <v>1013</v>
      </c>
      <c r="O48" t="s">
        <v>283</v>
      </c>
      <c r="P48" t="s">
        <v>284</v>
      </c>
      <c r="Q48">
        <v>1</v>
      </c>
      <c r="W48">
        <v>0</v>
      </c>
      <c r="X48">
        <v>1477335111</v>
      </c>
      <c r="Y48">
        <v>0.78200000000000003</v>
      </c>
      <c r="AA48">
        <v>0</v>
      </c>
      <c r="AB48">
        <v>0</v>
      </c>
      <c r="AC48">
        <v>0</v>
      </c>
      <c r="AD48">
        <v>6.88</v>
      </c>
      <c r="AE48">
        <v>0</v>
      </c>
      <c r="AF48">
        <v>0</v>
      </c>
      <c r="AG48">
        <v>0</v>
      </c>
      <c r="AH48">
        <v>6.88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0.68</v>
      </c>
      <c r="AU48" t="s">
        <v>12</v>
      </c>
      <c r="AV48">
        <v>1</v>
      </c>
      <c r="AW48">
        <v>2</v>
      </c>
      <c r="AX48">
        <v>52157055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Y48*Source!I52</f>
        <v>3.91</v>
      </c>
      <c r="CY48">
        <f>AD48</f>
        <v>6.88</v>
      </c>
      <c r="CZ48">
        <f>AH48</f>
        <v>6.88</v>
      </c>
      <c r="DA48">
        <f>AL48</f>
        <v>1</v>
      </c>
      <c r="DB48">
        <f>ROUND((ROUND(AT48*CZ48,2)*1.15),2)</f>
        <v>5.38</v>
      </c>
      <c r="DC48">
        <f>ROUND((ROUND(AT48*AG48,2)*1.15),2)</f>
        <v>0</v>
      </c>
    </row>
    <row r="49" spans="1:107" x14ac:dyDescent="0.2">
      <c r="A49">
        <f>ROW(Source!A52)</f>
        <v>52</v>
      </c>
      <c r="B49">
        <v>52156631</v>
      </c>
      <c r="C49">
        <v>52157050</v>
      </c>
      <c r="D49">
        <v>45811549</v>
      </c>
      <c r="E49">
        <v>1</v>
      </c>
      <c r="F49">
        <v>1</v>
      </c>
      <c r="G49">
        <v>1</v>
      </c>
      <c r="H49">
        <v>2</v>
      </c>
      <c r="I49" t="s">
        <v>343</v>
      </c>
      <c r="J49" t="s">
        <v>344</v>
      </c>
      <c r="K49" t="s">
        <v>345</v>
      </c>
      <c r="L49">
        <v>45811227</v>
      </c>
      <c r="N49">
        <v>1013</v>
      </c>
      <c r="O49" t="s">
        <v>290</v>
      </c>
      <c r="P49" t="s">
        <v>290</v>
      </c>
      <c r="Q49">
        <v>1</v>
      </c>
      <c r="W49">
        <v>0</v>
      </c>
      <c r="X49">
        <v>98904828</v>
      </c>
      <c r="Y49">
        <v>0.23749999999999999</v>
      </c>
      <c r="AA49">
        <v>0</v>
      </c>
      <c r="AB49">
        <v>14</v>
      </c>
      <c r="AC49">
        <v>0</v>
      </c>
      <c r="AD49">
        <v>0</v>
      </c>
      <c r="AE49">
        <v>0</v>
      </c>
      <c r="AF49">
        <v>14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0.19</v>
      </c>
      <c r="AU49" t="s">
        <v>11</v>
      </c>
      <c r="AV49">
        <v>0</v>
      </c>
      <c r="AW49">
        <v>2</v>
      </c>
      <c r="AX49">
        <v>52157056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Y49*Source!I52</f>
        <v>1.1875</v>
      </c>
      <c r="CY49">
        <f>AB49</f>
        <v>14</v>
      </c>
      <c r="CZ49">
        <f>AF49</f>
        <v>14</v>
      </c>
      <c r="DA49">
        <f>AJ49</f>
        <v>1</v>
      </c>
      <c r="DB49">
        <f>ROUND((ROUND(AT49*CZ49,2)*1.25),2)</f>
        <v>3.33</v>
      </c>
      <c r="DC49">
        <f>ROUND((ROUND(AT49*AG49,2)*1.25),2)</f>
        <v>0</v>
      </c>
    </row>
    <row r="50" spans="1:107" x14ac:dyDescent="0.2">
      <c r="A50">
        <f>ROW(Source!A52)</f>
        <v>52</v>
      </c>
      <c r="B50">
        <v>52156631</v>
      </c>
      <c r="C50">
        <v>52157050</v>
      </c>
      <c r="D50">
        <v>45816006</v>
      </c>
      <c r="E50">
        <v>1</v>
      </c>
      <c r="F50">
        <v>1</v>
      </c>
      <c r="G50">
        <v>1</v>
      </c>
      <c r="H50">
        <v>3</v>
      </c>
      <c r="I50" t="s">
        <v>346</v>
      </c>
      <c r="J50" t="s">
        <v>347</v>
      </c>
      <c r="K50" t="s">
        <v>348</v>
      </c>
      <c r="L50">
        <v>1348</v>
      </c>
      <c r="N50">
        <v>1009</v>
      </c>
      <c r="O50" t="s">
        <v>105</v>
      </c>
      <c r="P50" t="s">
        <v>105</v>
      </c>
      <c r="Q50">
        <v>1000</v>
      </c>
      <c r="W50">
        <v>0</v>
      </c>
      <c r="X50">
        <v>-2027110039</v>
      </c>
      <c r="Y50">
        <v>3.0000000000000001E-5</v>
      </c>
      <c r="AA50">
        <v>10324.77</v>
      </c>
      <c r="AB50">
        <v>0</v>
      </c>
      <c r="AC50">
        <v>0</v>
      </c>
      <c r="AD50">
        <v>0</v>
      </c>
      <c r="AE50">
        <v>10324.77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3.0000000000000001E-5</v>
      </c>
      <c r="AU50" t="s">
        <v>3</v>
      </c>
      <c r="AV50">
        <v>0</v>
      </c>
      <c r="AW50">
        <v>2</v>
      </c>
      <c r="AX50">
        <v>52157057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Y50*Source!I52</f>
        <v>1.5000000000000001E-4</v>
      </c>
      <c r="CY50">
        <f>AA50</f>
        <v>10324.77</v>
      </c>
      <c r="CZ50">
        <f>AE50</f>
        <v>10324.77</v>
      </c>
      <c r="DA50">
        <f>AI50</f>
        <v>1</v>
      </c>
      <c r="DB50">
        <f t="shared" ref="DB50:DB72" si="12">ROUND(ROUND(AT50*CZ50,2),2)</f>
        <v>0.31</v>
      </c>
      <c r="DC50">
        <f t="shared" ref="DC50:DC72" si="13">ROUND(ROUND(AT50*AG50,2),2)</f>
        <v>0</v>
      </c>
    </row>
    <row r="51" spans="1:107" x14ac:dyDescent="0.2">
      <c r="A51">
        <f>ROW(Source!A52)</f>
        <v>52</v>
      </c>
      <c r="B51">
        <v>52156631</v>
      </c>
      <c r="C51">
        <v>52157050</v>
      </c>
      <c r="D51">
        <v>45839525</v>
      </c>
      <c r="E51">
        <v>1</v>
      </c>
      <c r="F51">
        <v>1</v>
      </c>
      <c r="G51">
        <v>1</v>
      </c>
      <c r="H51">
        <v>3</v>
      </c>
      <c r="I51" t="s">
        <v>103</v>
      </c>
      <c r="J51" t="s">
        <v>106</v>
      </c>
      <c r="K51" t="s">
        <v>104</v>
      </c>
      <c r="L51">
        <v>1348</v>
      </c>
      <c r="N51">
        <v>1009</v>
      </c>
      <c r="O51" t="s">
        <v>105</v>
      </c>
      <c r="P51" t="s">
        <v>105</v>
      </c>
      <c r="Q51">
        <v>1000</v>
      </c>
      <c r="W51">
        <v>0</v>
      </c>
      <c r="X51">
        <v>-1380646413</v>
      </c>
      <c r="Y51">
        <v>5.0000000000000001E-3</v>
      </c>
      <c r="AA51">
        <v>6168</v>
      </c>
      <c r="AB51">
        <v>0</v>
      </c>
      <c r="AC51">
        <v>0</v>
      </c>
      <c r="AD51">
        <v>0</v>
      </c>
      <c r="AE51">
        <v>6168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5.0000000000000001E-3</v>
      </c>
      <c r="AU51" t="s">
        <v>3</v>
      </c>
      <c r="AV51">
        <v>0</v>
      </c>
      <c r="AW51">
        <v>2</v>
      </c>
      <c r="AX51">
        <v>52157058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Y51*Source!I52</f>
        <v>2.5000000000000001E-2</v>
      </c>
      <c r="CY51">
        <f>AA51</f>
        <v>6168</v>
      </c>
      <c r="CZ51">
        <f>AE51</f>
        <v>6168</v>
      </c>
      <c r="DA51">
        <f>AI51</f>
        <v>1</v>
      </c>
      <c r="DB51">
        <f t="shared" si="12"/>
        <v>30.84</v>
      </c>
      <c r="DC51">
        <f t="shared" si="13"/>
        <v>0</v>
      </c>
    </row>
    <row r="52" spans="1:107" x14ac:dyDescent="0.2">
      <c r="A52">
        <f>ROW(Source!A53)</f>
        <v>53</v>
      </c>
      <c r="B52">
        <v>52156631</v>
      </c>
      <c r="C52">
        <v>52157059</v>
      </c>
      <c r="D52">
        <v>45991065</v>
      </c>
      <c r="E52">
        <v>1</v>
      </c>
      <c r="F52">
        <v>1</v>
      </c>
      <c r="G52">
        <v>1</v>
      </c>
      <c r="H52">
        <v>1</v>
      </c>
      <c r="I52" t="s">
        <v>349</v>
      </c>
      <c r="J52" t="s">
        <v>3</v>
      </c>
      <c r="K52" t="s">
        <v>350</v>
      </c>
      <c r="L52">
        <v>1476</v>
      </c>
      <c r="N52">
        <v>1013</v>
      </c>
      <c r="O52" t="s">
        <v>283</v>
      </c>
      <c r="P52" t="s">
        <v>284</v>
      </c>
      <c r="Q52">
        <v>1</v>
      </c>
      <c r="W52">
        <v>0</v>
      </c>
      <c r="X52">
        <v>2046625334</v>
      </c>
      <c r="Y52">
        <v>3.64</v>
      </c>
      <c r="AA52">
        <v>0</v>
      </c>
      <c r="AB52">
        <v>0</v>
      </c>
      <c r="AC52">
        <v>0</v>
      </c>
      <c r="AD52">
        <v>7.94</v>
      </c>
      <c r="AE52">
        <v>0</v>
      </c>
      <c r="AF52">
        <v>0</v>
      </c>
      <c r="AG52">
        <v>0</v>
      </c>
      <c r="AH52">
        <v>7.94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3.64</v>
      </c>
      <c r="AU52" t="s">
        <v>3</v>
      </c>
      <c r="AV52">
        <v>1</v>
      </c>
      <c r="AW52">
        <v>2</v>
      </c>
      <c r="AX52">
        <v>52157070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Y52*Source!I53</f>
        <v>18.2</v>
      </c>
      <c r="CY52">
        <f>AD52</f>
        <v>7.94</v>
      </c>
      <c r="CZ52">
        <f>AH52</f>
        <v>7.94</v>
      </c>
      <c r="DA52">
        <f>AL52</f>
        <v>1</v>
      </c>
      <c r="DB52">
        <f t="shared" si="12"/>
        <v>28.9</v>
      </c>
      <c r="DC52">
        <f t="shared" si="13"/>
        <v>0</v>
      </c>
    </row>
    <row r="53" spans="1:107" x14ac:dyDescent="0.2">
      <c r="A53">
        <f>ROW(Source!A53)</f>
        <v>53</v>
      </c>
      <c r="B53">
        <v>52156631</v>
      </c>
      <c r="C53">
        <v>52157059</v>
      </c>
      <c r="D53">
        <v>121548</v>
      </c>
      <c r="E53">
        <v>1</v>
      </c>
      <c r="F53">
        <v>1</v>
      </c>
      <c r="G53">
        <v>1</v>
      </c>
      <c r="H53">
        <v>1</v>
      </c>
      <c r="I53" t="s">
        <v>26</v>
      </c>
      <c r="J53" t="s">
        <v>3</v>
      </c>
      <c r="K53" t="s">
        <v>285</v>
      </c>
      <c r="L53">
        <v>608254</v>
      </c>
      <c r="N53">
        <v>1013</v>
      </c>
      <c r="O53" t="s">
        <v>286</v>
      </c>
      <c r="P53" t="s">
        <v>286</v>
      </c>
      <c r="Q53">
        <v>1</v>
      </c>
      <c r="W53">
        <v>0</v>
      </c>
      <c r="X53">
        <v>-185737400</v>
      </c>
      <c r="Y53">
        <v>1.27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1.27</v>
      </c>
      <c r="AU53" t="s">
        <v>3</v>
      </c>
      <c r="AV53">
        <v>2</v>
      </c>
      <c r="AW53">
        <v>2</v>
      </c>
      <c r="AX53">
        <v>52157071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Y53*Source!I53</f>
        <v>6.35</v>
      </c>
      <c r="CY53">
        <f>AD53</f>
        <v>0</v>
      </c>
      <c r="CZ53">
        <f>AH53</f>
        <v>0</v>
      </c>
      <c r="DA53">
        <f>AL53</f>
        <v>1</v>
      </c>
      <c r="DB53">
        <f t="shared" si="12"/>
        <v>0</v>
      </c>
      <c r="DC53">
        <f t="shared" si="13"/>
        <v>0</v>
      </c>
    </row>
    <row r="54" spans="1:107" x14ac:dyDescent="0.2">
      <c r="A54">
        <f>ROW(Source!A53)</f>
        <v>53</v>
      </c>
      <c r="B54">
        <v>52156631</v>
      </c>
      <c r="C54">
        <v>52157059</v>
      </c>
      <c r="D54">
        <v>45811342</v>
      </c>
      <c r="E54">
        <v>1</v>
      </c>
      <c r="F54">
        <v>1</v>
      </c>
      <c r="G54">
        <v>1</v>
      </c>
      <c r="H54">
        <v>2</v>
      </c>
      <c r="I54" t="s">
        <v>351</v>
      </c>
      <c r="J54" t="s">
        <v>352</v>
      </c>
      <c r="K54" t="s">
        <v>353</v>
      </c>
      <c r="L54">
        <v>45811227</v>
      </c>
      <c r="N54">
        <v>1013</v>
      </c>
      <c r="O54" t="s">
        <v>290</v>
      </c>
      <c r="P54" t="s">
        <v>290</v>
      </c>
      <c r="Q54">
        <v>1</v>
      </c>
      <c r="W54">
        <v>0</v>
      </c>
      <c r="X54">
        <v>-1570605523</v>
      </c>
      <c r="Y54">
        <v>0.02</v>
      </c>
      <c r="AA54">
        <v>0</v>
      </c>
      <c r="AB54">
        <v>134.41</v>
      </c>
      <c r="AC54">
        <v>13.26</v>
      </c>
      <c r="AD54">
        <v>0</v>
      </c>
      <c r="AE54">
        <v>0</v>
      </c>
      <c r="AF54">
        <v>134.41</v>
      </c>
      <c r="AG54">
        <v>13.26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52157072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Y54*Source!I53</f>
        <v>0.1</v>
      </c>
      <c r="CY54">
        <f>AB54</f>
        <v>134.41</v>
      </c>
      <c r="CZ54">
        <f>AF54</f>
        <v>134.41</v>
      </c>
      <c r="DA54">
        <f>AJ54</f>
        <v>1</v>
      </c>
      <c r="DB54">
        <f t="shared" si="12"/>
        <v>2.69</v>
      </c>
      <c r="DC54">
        <f t="shared" si="13"/>
        <v>0.27</v>
      </c>
    </row>
    <row r="55" spans="1:107" x14ac:dyDescent="0.2">
      <c r="A55">
        <f>ROW(Source!A53)</f>
        <v>53</v>
      </c>
      <c r="B55">
        <v>52156631</v>
      </c>
      <c r="C55">
        <v>52157059</v>
      </c>
      <c r="D55">
        <v>45811492</v>
      </c>
      <c r="E55">
        <v>1</v>
      </c>
      <c r="F55">
        <v>1</v>
      </c>
      <c r="G55">
        <v>1</v>
      </c>
      <c r="H55">
        <v>2</v>
      </c>
      <c r="I55" t="s">
        <v>354</v>
      </c>
      <c r="J55" t="s">
        <v>355</v>
      </c>
      <c r="K55" t="s">
        <v>356</v>
      </c>
      <c r="L55">
        <v>45811227</v>
      </c>
      <c r="N55">
        <v>1013</v>
      </c>
      <c r="O55" t="s">
        <v>290</v>
      </c>
      <c r="P55" t="s">
        <v>290</v>
      </c>
      <c r="Q55">
        <v>1</v>
      </c>
      <c r="W55">
        <v>0</v>
      </c>
      <c r="X55">
        <v>831370962</v>
      </c>
      <c r="Y55">
        <v>1.25</v>
      </c>
      <c r="AA55">
        <v>0</v>
      </c>
      <c r="AB55">
        <v>142.46</v>
      </c>
      <c r="AC55">
        <v>13.26</v>
      </c>
      <c r="AD55">
        <v>0</v>
      </c>
      <c r="AE55">
        <v>0</v>
      </c>
      <c r="AF55">
        <v>142.46</v>
      </c>
      <c r="AG55">
        <v>13.26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1.25</v>
      </c>
      <c r="AU55" t="s">
        <v>3</v>
      </c>
      <c r="AV55">
        <v>0</v>
      </c>
      <c r="AW55">
        <v>2</v>
      </c>
      <c r="AX55">
        <v>52157073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Y55*Source!I53</f>
        <v>6.25</v>
      </c>
      <c r="CY55">
        <f>AB55</f>
        <v>142.46</v>
      </c>
      <c r="CZ55">
        <f>AF55</f>
        <v>142.46</v>
      </c>
      <c r="DA55">
        <f>AJ55</f>
        <v>1</v>
      </c>
      <c r="DB55">
        <f t="shared" si="12"/>
        <v>178.08</v>
      </c>
      <c r="DC55">
        <f t="shared" si="13"/>
        <v>16.579999999999998</v>
      </c>
    </row>
    <row r="56" spans="1:107" x14ac:dyDescent="0.2">
      <c r="A56">
        <f>ROW(Source!A53)</f>
        <v>53</v>
      </c>
      <c r="B56">
        <v>52156631</v>
      </c>
      <c r="C56">
        <v>52157059</v>
      </c>
      <c r="D56">
        <v>45813321</v>
      </c>
      <c r="E56">
        <v>1</v>
      </c>
      <c r="F56">
        <v>1</v>
      </c>
      <c r="G56">
        <v>1</v>
      </c>
      <c r="H56">
        <v>2</v>
      </c>
      <c r="I56" t="s">
        <v>302</v>
      </c>
      <c r="J56" t="s">
        <v>303</v>
      </c>
      <c r="K56" t="s">
        <v>304</v>
      </c>
      <c r="L56">
        <v>45811227</v>
      </c>
      <c r="N56">
        <v>1013</v>
      </c>
      <c r="O56" t="s">
        <v>290</v>
      </c>
      <c r="P56" t="s">
        <v>290</v>
      </c>
      <c r="Q56">
        <v>1</v>
      </c>
      <c r="W56">
        <v>0</v>
      </c>
      <c r="X56">
        <v>771999048</v>
      </c>
      <c r="Y56">
        <v>0.02</v>
      </c>
      <c r="AA56">
        <v>0</v>
      </c>
      <c r="AB56">
        <v>86.55</v>
      </c>
      <c r="AC56">
        <v>0</v>
      </c>
      <c r="AD56">
        <v>0</v>
      </c>
      <c r="AE56">
        <v>0</v>
      </c>
      <c r="AF56">
        <v>86.55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0.02</v>
      </c>
      <c r="AU56" t="s">
        <v>3</v>
      </c>
      <c r="AV56">
        <v>0</v>
      </c>
      <c r="AW56">
        <v>2</v>
      </c>
      <c r="AX56">
        <v>52157074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Y56*Source!I53</f>
        <v>0.1</v>
      </c>
      <c r="CY56">
        <f>AB56</f>
        <v>86.55</v>
      </c>
      <c r="CZ56">
        <f>AF56</f>
        <v>86.55</v>
      </c>
      <c r="DA56">
        <f>AJ56</f>
        <v>1</v>
      </c>
      <c r="DB56">
        <f t="shared" si="12"/>
        <v>1.73</v>
      </c>
      <c r="DC56">
        <f t="shared" si="13"/>
        <v>0</v>
      </c>
    </row>
    <row r="57" spans="1:107" x14ac:dyDescent="0.2">
      <c r="A57">
        <f>ROW(Source!A53)</f>
        <v>53</v>
      </c>
      <c r="B57">
        <v>52156631</v>
      </c>
      <c r="C57">
        <v>52157059</v>
      </c>
      <c r="D57">
        <v>45816643</v>
      </c>
      <c r="E57">
        <v>1</v>
      </c>
      <c r="F57">
        <v>1</v>
      </c>
      <c r="G57">
        <v>1</v>
      </c>
      <c r="H57">
        <v>3</v>
      </c>
      <c r="I57" t="s">
        <v>357</v>
      </c>
      <c r="J57" t="s">
        <v>358</v>
      </c>
      <c r="K57" t="s">
        <v>359</v>
      </c>
      <c r="L57">
        <v>1346</v>
      </c>
      <c r="N57">
        <v>1009</v>
      </c>
      <c r="O57" t="s">
        <v>314</v>
      </c>
      <c r="P57" t="s">
        <v>314</v>
      </c>
      <c r="Q57">
        <v>1</v>
      </c>
      <c r="W57">
        <v>0</v>
      </c>
      <c r="X57">
        <v>1994379672</v>
      </c>
      <c r="Y57">
        <v>0.1</v>
      </c>
      <c r="AA57">
        <v>9.19</v>
      </c>
      <c r="AB57">
        <v>0</v>
      </c>
      <c r="AC57">
        <v>0</v>
      </c>
      <c r="AD57">
        <v>0</v>
      </c>
      <c r="AE57">
        <v>9.19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0.1</v>
      </c>
      <c r="AU57" t="s">
        <v>3</v>
      </c>
      <c r="AV57">
        <v>0</v>
      </c>
      <c r="AW57">
        <v>2</v>
      </c>
      <c r="AX57">
        <v>52157075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Y57*Source!I53</f>
        <v>0.5</v>
      </c>
      <c r="CY57">
        <f>AA57</f>
        <v>9.19</v>
      </c>
      <c r="CZ57">
        <f>AE57</f>
        <v>9.19</v>
      </c>
      <c r="DA57">
        <f>AI57</f>
        <v>1</v>
      </c>
      <c r="DB57">
        <f t="shared" si="12"/>
        <v>0.92</v>
      </c>
      <c r="DC57">
        <f t="shared" si="13"/>
        <v>0</v>
      </c>
    </row>
    <row r="58" spans="1:107" x14ac:dyDescent="0.2">
      <c r="A58">
        <f>ROW(Source!A53)</f>
        <v>53</v>
      </c>
      <c r="B58">
        <v>52156631</v>
      </c>
      <c r="C58">
        <v>52157059</v>
      </c>
      <c r="D58">
        <v>45816838</v>
      </c>
      <c r="E58">
        <v>1</v>
      </c>
      <c r="F58">
        <v>1</v>
      </c>
      <c r="G58">
        <v>1</v>
      </c>
      <c r="H58">
        <v>3</v>
      </c>
      <c r="I58" t="s">
        <v>360</v>
      </c>
      <c r="J58" t="s">
        <v>361</v>
      </c>
      <c r="K58" t="s">
        <v>362</v>
      </c>
      <c r="L58">
        <v>1346</v>
      </c>
      <c r="N58">
        <v>1009</v>
      </c>
      <c r="O58" t="s">
        <v>314</v>
      </c>
      <c r="P58" t="s">
        <v>314</v>
      </c>
      <c r="Q58">
        <v>1</v>
      </c>
      <c r="W58">
        <v>0</v>
      </c>
      <c r="X58">
        <v>546677157</v>
      </c>
      <c r="Y58">
        <v>0.7</v>
      </c>
      <c r="AA58">
        <v>25.89</v>
      </c>
      <c r="AB58">
        <v>0</v>
      </c>
      <c r="AC58">
        <v>0</v>
      </c>
      <c r="AD58">
        <v>0</v>
      </c>
      <c r="AE58">
        <v>25.89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0.7</v>
      </c>
      <c r="AU58" t="s">
        <v>3</v>
      </c>
      <c r="AV58">
        <v>0</v>
      </c>
      <c r="AW58">
        <v>2</v>
      </c>
      <c r="AX58">
        <v>52157076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Y58*Source!I53</f>
        <v>3.5</v>
      </c>
      <c r="CY58">
        <f>AA58</f>
        <v>25.89</v>
      </c>
      <c r="CZ58">
        <f>AE58</f>
        <v>25.89</v>
      </c>
      <c r="DA58">
        <f>AI58</f>
        <v>1</v>
      </c>
      <c r="DB58">
        <f t="shared" si="12"/>
        <v>18.12</v>
      </c>
      <c r="DC58">
        <f t="shared" si="13"/>
        <v>0</v>
      </c>
    </row>
    <row r="59" spans="1:107" x14ac:dyDescent="0.2">
      <c r="A59">
        <f>ROW(Source!A53)</f>
        <v>53</v>
      </c>
      <c r="B59">
        <v>52156631</v>
      </c>
      <c r="C59">
        <v>52157059</v>
      </c>
      <c r="D59">
        <v>45837067</v>
      </c>
      <c r="E59">
        <v>1</v>
      </c>
      <c r="F59">
        <v>1</v>
      </c>
      <c r="G59">
        <v>1</v>
      </c>
      <c r="H59">
        <v>3</v>
      </c>
      <c r="I59" t="s">
        <v>128</v>
      </c>
      <c r="J59" t="s">
        <v>130</v>
      </c>
      <c r="K59" t="s">
        <v>129</v>
      </c>
      <c r="L59">
        <v>1354</v>
      </c>
      <c r="N59">
        <v>1010</v>
      </c>
      <c r="O59" t="s">
        <v>37</v>
      </c>
      <c r="P59" t="s">
        <v>37</v>
      </c>
      <c r="Q59">
        <v>1</v>
      </c>
      <c r="W59">
        <v>0</v>
      </c>
      <c r="X59">
        <v>1821172391</v>
      </c>
      <c r="Y59">
        <v>1</v>
      </c>
      <c r="AA59">
        <v>723.36</v>
      </c>
      <c r="AB59">
        <v>0</v>
      </c>
      <c r="AC59">
        <v>0</v>
      </c>
      <c r="AD59">
        <v>0</v>
      </c>
      <c r="AE59">
        <v>723.36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0</v>
      </c>
      <c r="AP59">
        <v>0</v>
      </c>
      <c r="AQ59">
        <v>0</v>
      </c>
      <c r="AR59">
        <v>0</v>
      </c>
      <c r="AS59" t="s">
        <v>3</v>
      </c>
      <c r="AT59">
        <v>1</v>
      </c>
      <c r="AU59" t="s">
        <v>3</v>
      </c>
      <c r="AV59">
        <v>0</v>
      </c>
      <c r="AW59">
        <v>1</v>
      </c>
      <c r="AX59">
        <v>-1</v>
      </c>
      <c r="AY59">
        <v>0</v>
      </c>
      <c r="AZ59">
        <v>0</v>
      </c>
      <c r="BA59" t="s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Y59*Source!I53</f>
        <v>5</v>
      </c>
      <c r="CY59">
        <f>AA59</f>
        <v>723.36</v>
      </c>
      <c r="CZ59">
        <f>AE59</f>
        <v>723.36</v>
      </c>
      <c r="DA59">
        <f>AI59</f>
        <v>1</v>
      </c>
      <c r="DB59">
        <f t="shared" si="12"/>
        <v>723.36</v>
      </c>
      <c r="DC59">
        <f t="shared" si="13"/>
        <v>0</v>
      </c>
    </row>
    <row r="60" spans="1:107" x14ac:dyDescent="0.2">
      <c r="A60">
        <f>ROW(Source!A53)</f>
        <v>53</v>
      </c>
      <c r="B60">
        <v>52156631</v>
      </c>
      <c r="C60">
        <v>52157059</v>
      </c>
      <c r="D60">
        <v>45869828</v>
      </c>
      <c r="E60">
        <v>1</v>
      </c>
      <c r="F60">
        <v>1</v>
      </c>
      <c r="G60">
        <v>1</v>
      </c>
      <c r="H60">
        <v>3</v>
      </c>
      <c r="I60" t="s">
        <v>132</v>
      </c>
      <c r="J60" t="s">
        <v>134</v>
      </c>
      <c r="K60" t="s">
        <v>133</v>
      </c>
      <c r="L60">
        <v>1477</v>
      </c>
      <c r="N60">
        <v>1013</v>
      </c>
      <c r="O60" t="s">
        <v>42</v>
      </c>
      <c r="P60" t="s">
        <v>44</v>
      </c>
      <c r="Q60">
        <v>1</v>
      </c>
      <c r="W60">
        <v>0</v>
      </c>
      <c r="X60">
        <v>335873434</v>
      </c>
      <c r="Y60">
        <v>3.0599999999999998E-3</v>
      </c>
      <c r="AA60">
        <v>3428.99</v>
      </c>
      <c r="AB60">
        <v>0</v>
      </c>
      <c r="AC60">
        <v>0</v>
      </c>
      <c r="AD60">
        <v>0</v>
      </c>
      <c r="AE60">
        <v>3428.99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3.0599999999999998E-3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Y60*Source!I53</f>
        <v>1.5299999999999999E-2</v>
      </c>
      <c r="CY60">
        <f>AA60</f>
        <v>3428.99</v>
      </c>
      <c r="CZ60">
        <f>AE60</f>
        <v>3428.99</v>
      </c>
      <c r="DA60">
        <f>AI60</f>
        <v>1</v>
      </c>
      <c r="DB60">
        <f t="shared" si="12"/>
        <v>10.49</v>
      </c>
      <c r="DC60">
        <f t="shared" si="13"/>
        <v>0</v>
      </c>
    </row>
    <row r="61" spans="1:107" x14ac:dyDescent="0.2">
      <c r="A61">
        <f>ROW(Source!A53)</f>
        <v>53</v>
      </c>
      <c r="B61">
        <v>52156631</v>
      </c>
      <c r="C61">
        <v>52157059</v>
      </c>
      <c r="D61">
        <v>45967299</v>
      </c>
      <c r="E61">
        <v>1</v>
      </c>
      <c r="F61">
        <v>1</v>
      </c>
      <c r="G61">
        <v>1</v>
      </c>
      <c r="H61">
        <v>3</v>
      </c>
      <c r="I61" t="s">
        <v>363</v>
      </c>
      <c r="J61" t="s">
        <v>364</v>
      </c>
      <c r="K61" t="s">
        <v>365</v>
      </c>
      <c r="L61">
        <v>1344</v>
      </c>
      <c r="N61">
        <v>1008</v>
      </c>
      <c r="O61" t="s">
        <v>366</v>
      </c>
      <c r="P61" t="s">
        <v>366</v>
      </c>
      <c r="Q61">
        <v>1</v>
      </c>
      <c r="W61">
        <v>0</v>
      </c>
      <c r="X61">
        <v>-1363992221</v>
      </c>
      <c r="Y61">
        <v>0.57999999999999996</v>
      </c>
      <c r="AA61">
        <v>1</v>
      </c>
      <c r="AB61">
        <v>0</v>
      </c>
      <c r="AC61">
        <v>0</v>
      </c>
      <c r="AD61">
        <v>0</v>
      </c>
      <c r="AE61">
        <v>1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0.57999999999999996</v>
      </c>
      <c r="AU61" t="s">
        <v>3</v>
      </c>
      <c r="AV61">
        <v>0</v>
      </c>
      <c r="AW61">
        <v>2</v>
      </c>
      <c r="AX61">
        <v>52157077</v>
      </c>
      <c r="AY61">
        <v>1</v>
      </c>
      <c r="AZ61">
        <v>0</v>
      </c>
      <c r="BA61">
        <v>59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Y61*Source!I53</f>
        <v>2.9</v>
      </c>
      <c r="CY61">
        <f>AA61</f>
        <v>1</v>
      </c>
      <c r="CZ61">
        <f>AE61</f>
        <v>1</v>
      </c>
      <c r="DA61">
        <f>AI61</f>
        <v>1</v>
      </c>
      <c r="DB61">
        <f t="shared" si="12"/>
        <v>0.57999999999999996</v>
      </c>
      <c r="DC61">
        <f t="shared" si="13"/>
        <v>0</v>
      </c>
    </row>
    <row r="62" spans="1:107" x14ac:dyDescent="0.2">
      <c r="A62">
        <f>ROW(Source!A56)</f>
        <v>56</v>
      </c>
      <c r="B62">
        <v>52156631</v>
      </c>
      <c r="C62">
        <v>52157080</v>
      </c>
      <c r="D62">
        <v>45988109</v>
      </c>
      <c r="E62">
        <v>1</v>
      </c>
      <c r="F62">
        <v>1</v>
      </c>
      <c r="G62">
        <v>1</v>
      </c>
      <c r="H62">
        <v>1</v>
      </c>
      <c r="I62" t="s">
        <v>367</v>
      </c>
      <c r="J62" t="s">
        <v>3</v>
      </c>
      <c r="K62" t="s">
        <v>368</v>
      </c>
      <c r="L62">
        <v>1476</v>
      </c>
      <c r="N62">
        <v>1013</v>
      </c>
      <c r="O62" t="s">
        <v>283</v>
      </c>
      <c r="P62" t="s">
        <v>284</v>
      </c>
      <c r="Q62">
        <v>1</v>
      </c>
      <c r="W62">
        <v>0</v>
      </c>
      <c r="X62">
        <v>637965020</v>
      </c>
      <c r="Y62">
        <v>1.46</v>
      </c>
      <c r="AA62">
        <v>0</v>
      </c>
      <c r="AB62">
        <v>0</v>
      </c>
      <c r="AC62">
        <v>0</v>
      </c>
      <c r="AD62">
        <v>8.5399999999999991</v>
      </c>
      <c r="AE62">
        <v>0</v>
      </c>
      <c r="AF62">
        <v>0</v>
      </c>
      <c r="AG62">
        <v>0</v>
      </c>
      <c r="AH62">
        <v>8.5399999999999991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1.46</v>
      </c>
      <c r="AU62" t="s">
        <v>3</v>
      </c>
      <c r="AV62">
        <v>1</v>
      </c>
      <c r="AW62">
        <v>2</v>
      </c>
      <c r="AX62">
        <v>52157092</v>
      </c>
      <c r="AY62">
        <v>1</v>
      </c>
      <c r="AZ62">
        <v>0</v>
      </c>
      <c r="BA62">
        <v>60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Y62*Source!I56</f>
        <v>14.6</v>
      </c>
      <c r="CY62">
        <f>AD62</f>
        <v>8.5399999999999991</v>
      </c>
      <c r="CZ62">
        <f>AH62</f>
        <v>8.5399999999999991</v>
      </c>
      <c r="DA62">
        <f>AL62</f>
        <v>1</v>
      </c>
      <c r="DB62">
        <f t="shared" si="12"/>
        <v>12.47</v>
      </c>
      <c r="DC62">
        <f t="shared" si="13"/>
        <v>0</v>
      </c>
    </row>
    <row r="63" spans="1:107" x14ac:dyDescent="0.2">
      <c r="A63">
        <f>ROW(Source!A56)</f>
        <v>56</v>
      </c>
      <c r="B63">
        <v>52156631</v>
      </c>
      <c r="C63">
        <v>52157080</v>
      </c>
      <c r="D63">
        <v>121548</v>
      </c>
      <c r="E63">
        <v>1</v>
      </c>
      <c r="F63">
        <v>1</v>
      </c>
      <c r="G63">
        <v>1</v>
      </c>
      <c r="H63">
        <v>1</v>
      </c>
      <c r="I63" t="s">
        <v>26</v>
      </c>
      <c r="J63" t="s">
        <v>3</v>
      </c>
      <c r="K63" t="s">
        <v>285</v>
      </c>
      <c r="L63">
        <v>608254</v>
      </c>
      <c r="N63">
        <v>1013</v>
      </c>
      <c r="O63" t="s">
        <v>286</v>
      </c>
      <c r="P63" t="s">
        <v>286</v>
      </c>
      <c r="Q63">
        <v>1</v>
      </c>
      <c r="W63">
        <v>0</v>
      </c>
      <c r="X63">
        <v>-185737400</v>
      </c>
      <c r="Y63">
        <v>0.31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0.31</v>
      </c>
      <c r="AU63" t="s">
        <v>3</v>
      </c>
      <c r="AV63">
        <v>2</v>
      </c>
      <c r="AW63">
        <v>2</v>
      </c>
      <c r="AX63">
        <v>52157093</v>
      </c>
      <c r="AY63">
        <v>1</v>
      </c>
      <c r="AZ63">
        <v>0</v>
      </c>
      <c r="BA63">
        <v>61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Y63*Source!I56</f>
        <v>3.1</v>
      </c>
      <c r="CY63">
        <f>AD63</f>
        <v>0</v>
      </c>
      <c r="CZ63">
        <f>AH63</f>
        <v>0</v>
      </c>
      <c r="DA63">
        <f>AL63</f>
        <v>1</v>
      </c>
      <c r="DB63">
        <f t="shared" si="12"/>
        <v>0</v>
      </c>
      <c r="DC63">
        <f t="shared" si="13"/>
        <v>0</v>
      </c>
    </row>
    <row r="64" spans="1:107" x14ac:dyDescent="0.2">
      <c r="A64">
        <f>ROW(Source!A56)</f>
        <v>56</v>
      </c>
      <c r="B64">
        <v>52156631</v>
      </c>
      <c r="C64">
        <v>52157080</v>
      </c>
      <c r="D64">
        <v>45811342</v>
      </c>
      <c r="E64">
        <v>1</v>
      </c>
      <c r="F64">
        <v>1</v>
      </c>
      <c r="G64">
        <v>1</v>
      </c>
      <c r="H64">
        <v>2</v>
      </c>
      <c r="I64" t="s">
        <v>351</v>
      </c>
      <c r="J64" t="s">
        <v>352</v>
      </c>
      <c r="K64" t="s">
        <v>353</v>
      </c>
      <c r="L64">
        <v>45811227</v>
      </c>
      <c r="N64">
        <v>1013</v>
      </c>
      <c r="O64" t="s">
        <v>290</v>
      </c>
      <c r="P64" t="s">
        <v>290</v>
      </c>
      <c r="Q64">
        <v>1</v>
      </c>
      <c r="W64">
        <v>0</v>
      </c>
      <c r="X64">
        <v>-1570605523</v>
      </c>
      <c r="Y64">
        <v>0.02</v>
      </c>
      <c r="AA64">
        <v>0</v>
      </c>
      <c r="AB64">
        <v>134.41</v>
      </c>
      <c r="AC64">
        <v>13.26</v>
      </c>
      <c r="AD64">
        <v>0</v>
      </c>
      <c r="AE64">
        <v>0</v>
      </c>
      <c r="AF64">
        <v>134.41</v>
      </c>
      <c r="AG64">
        <v>13.26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0.02</v>
      </c>
      <c r="AU64" t="s">
        <v>3</v>
      </c>
      <c r="AV64">
        <v>0</v>
      </c>
      <c r="AW64">
        <v>2</v>
      </c>
      <c r="AX64">
        <v>52157094</v>
      </c>
      <c r="AY64">
        <v>1</v>
      </c>
      <c r="AZ64">
        <v>0</v>
      </c>
      <c r="BA64">
        <v>62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Y64*Source!I56</f>
        <v>0.2</v>
      </c>
      <c r="CY64">
        <f>AB64</f>
        <v>134.41</v>
      </c>
      <c r="CZ64">
        <f>AF64</f>
        <v>134.41</v>
      </c>
      <c r="DA64">
        <f>AJ64</f>
        <v>1</v>
      </c>
      <c r="DB64">
        <f t="shared" si="12"/>
        <v>2.69</v>
      </c>
      <c r="DC64">
        <f t="shared" si="13"/>
        <v>0.27</v>
      </c>
    </row>
    <row r="65" spans="1:107" x14ac:dyDescent="0.2">
      <c r="A65">
        <f>ROW(Source!A56)</f>
        <v>56</v>
      </c>
      <c r="B65">
        <v>52156631</v>
      </c>
      <c r="C65">
        <v>52157080</v>
      </c>
      <c r="D65">
        <v>45811492</v>
      </c>
      <c r="E65">
        <v>1</v>
      </c>
      <c r="F65">
        <v>1</v>
      </c>
      <c r="G65">
        <v>1</v>
      </c>
      <c r="H65">
        <v>2</v>
      </c>
      <c r="I65" t="s">
        <v>354</v>
      </c>
      <c r="J65" t="s">
        <v>355</v>
      </c>
      <c r="K65" t="s">
        <v>356</v>
      </c>
      <c r="L65">
        <v>45811227</v>
      </c>
      <c r="N65">
        <v>1013</v>
      </c>
      <c r="O65" t="s">
        <v>290</v>
      </c>
      <c r="P65" t="s">
        <v>290</v>
      </c>
      <c r="Q65">
        <v>1</v>
      </c>
      <c r="W65">
        <v>0</v>
      </c>
      <c r="X65">
        <v>831370962</v>
      </c>
      <c r="Y65">
        <v>0.28999999999999998</v>
      </c>
      <c r="AA65">
        <v>0</v>
      </c>
      <c r="AB65">
        <v>142.46</v>
      </c>
      <c r="AC65">
        <v>13.26</v>
      </c>
      <c r="AD65">
        <v>0</v>
      </c>
      <c r="AE65">
        <v>0</v>
      </c>
      <c r="AF65">
        <v>142.46</v>
      </c>
      <c r="AG65">
        <v>13.26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0.28999999999999998</v>
      </c>
      <c r="AU65" t="s">
        <v>3</v>
      </c>
      <c r="AV65">
        <v>0</v>
      </c>
      <c r="AW65">
        <v>2</v>
      </c>
      <c r="AX65">
        <v>52157095</v>
      </c>
      <c r="AY65">
        <v>1</v>
      </c>
      <c r="AZ65">
        <v>0</v>
      </c>
      <c r="BA65">
        <v>63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Y65*Source!I56</f>
        <v>2.9</v>
      </c>
      <c r="CY65">
        <f>AB65</f>
        <v>142.46</v>
      </c>
      <c r="CZ65">
        <f>AF65</f>
        <v>142.46</v>
      </c>
      <c r="DA65">
        <f>AJ65</f>
        <v>1</v>
      </c>
      <c r="DB65">
        <f t="shared" si="12"/>
        <v>41.31</v>
      </c>
      <c r="DC65">
        <f t="shared" si="13"/>
        <v>3.85</v>
      </c>
    </row>
    <row r="66" spans="1:107" x14ac:dyDescent="0.2">
      <c r="A66">
        <f>ROW(Source!A56)</f>
        <v>56</v>
      </c>
      <c r="B66">
        <v>52156631</v>
      </c>
      <c r="C66">
        <v>52157080</v>
      </c>
      <c r="D66">
        <v>45813321</v>
      </c>
      <c r="E66">
        <v>1</v>
      </c>
      <c r="F66">
        <v>1</v>
      </c>
      <c r="G66">
        <v>1</v>
      </c>
      <c r="H66">
        <v>2</v>
      </c>
      <c r="I66" t="s">
        <v>302</v>
      </c>
      <c r="J66" t="s">
        <v>303</v>
      </c>
      <c r="K66" t="s">
        <v>304</v>
      </c>
      <c r="L66">
        <v>45811227</v>
      </c>
      <c r="N66">
        <v>1013</v>
      </c>
      <c r="O66" t="s">
        <v>290</v>
      </c>
      <c r="P66" t="s">
        <v>290</v>
      </c>
      <c r="Q66">
        <v>1</v>
      </c>
      <c r="W66">
        <v>0</v>
      </c>
      <c r="X66">
        <v>771999048</v>
      </c>
      <c r="Y66">
        <v>0.02</v>
      </c>
      <c r="AA66">
        <v>0</v>
      </c>
      <c r="AB66">
        <v>86.55</v>
      </c>
      <c r="AC66">
        <v>0</v>
      </c>
      <c r="AD66">
        <v>0</v>
      </c>
      <c r="AE66">
        <v>0</v>
      </c>
      <c r="AF66">
        <v>86.55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0.02</v>
      </c>
      <c r="AU66" t="s">
        <v>3</v>
      </c>
      <c r="AV66">
        <v>0</v>
      </c>
      <c r="AW66">
        <v>2</v>
      </c>
      <c r="AX66">
        <v>52157096</v>
      </c>
      <c r="AY66">
        <v>1</v>
      </c>
      <c r="AZ66">
        <v>0</v>
      </c>
      <c r="BA66">
        <v>64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Y66*Source!I56</f>
        <v>0.2</v>
      </c>
      <c r="CY66">
        <f>AB66</f>
        <v>86.55</v>
      </c>
      <c r="CZ66">
        <f>AF66</f>
        <v>86.55</v>
      </c>
      <c r="DA66">
        <f>AJ66</f>
        <v>1</v>
      </c>
      <c r="DB66">
        <f t="shared" si="12"/>
        <v>1.73</v>
      </c>
      <c r="DC66">
        <f t="shared" si="13"/>
        <v>0</v>
      </c>
    </row>
    <row r="67" spans="1:107" x14ac:dyDescent="0.2">
      <c r="A67">
        <f>ROW(Source!A56)</f>
        <v>56</v>
      </c>
      <c r="B67">
        <v>52156631</v>
      </c>
      <c r="C67">
        <v>52157080</v>
      </c>
      <c r="D67">
        <v>45816610</v>
      </c>
      <c r="E67">
        <v>1</v>
      </c>
      <c r="F67">
        <v>1</v>
      </c>
      <c r="G67">
        <v>1</v>
      </c>
      <c r="H67">
        <v>3</v>
      </c>
      <c r="I67" t="s">
        <v>369</v>
      </c>
      <c r="J67" t="s">
        <v>370</v>
      </c>
      <c r="K67" t="s">
        <v>371</v>
      </c>
      <c r="L67">
        <v>1346</v>
      </c>
      <c r="N67">
        <v>1009</v>
      </c>
      <c r="O67" t="s">
        <v>314</v>
      </c>
      <c r="P67" t="s">
        <v>314</v>
      </c>
      <c r="Q67">
        <v>1</v>
      </c>
      <c r="W67">
        <v>0</v>
      </c>
      <c r="X67">
        <v>1795738706</v>
      </c>
      <c r="Y67">
        <v>1.2E-2</v>
      </c>
      <c r="AA67">
        <v>23.59</v>
      </c>
      <c r="AB67">
        <v>0</v>
      </c>
      <c r="AC67">
        <v>0</v>
      </c>
      <c r="AD67">
        <v>0</v>
      </c>
      <c r="AE67">
        <v>23.59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1.2E-2</v>
      </c>
      <c r="AU67" t="s">
        <v>3</v>
      </c>
      <c r="AV67">
        <v>0</v>
      </c>
      <c r="AW67">
        <v>2</v>
      </c>
      <c r="AX67">
        <v>52157097</v>
      </c>
      <c r="AY67">
        <v>1</v>
      </c>
      <c r="AZ67">
        <v>0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Y67*Source!I56</f>
        <v>0.12</v>
      </c>
      <c r="CY67">
        <f t="shared" ref="CY67:CY72" si="14">AA67</f>
        <v>23.59</v>
      </c>
      <c r="CZ67">
        <f t="shared" ref="CZ67:CZ72" si="15">AE67</f>
        <v>23.59</v>
      </c>
      <c r="DA67">
        <f t="shared" ref="DA67:DA72" si="16">AI67</f>
        <v>1</v>
      </c>
      <c r="DB67">
        <f t="shared" si="12"/>
        <v>0.28000000000000003</v>
      </c>
      <c r="DC67">
        <f t="shared" si="13"/>
        <v>0</v>
      </c>
    </row>
    <row r="68" spans="1:107" x14ac:dyDescent="0.2">
      <c r="A68">
        <f>ROW(Source!A56)</f>
        <v>56</v>
      </c>
      <c r="B68">
        <v>52156631</v>
      </c>
      <c r="C68">
        <v>52157080</v>
      </c>
      <c r="D68">
        <v>45817317</v>
      </c>
      <c r="E68">
        <v>1</v>
      </c>
      <c r="F68">
        <v>1</v>
      </c>
      <c r="G68">
        <v>1</v>
      </c>
      <c r="H68">
        <v>3</v>
      </c>
      <c r="I68" t="s">
        <v>372</v>
      </c>
      <c r="J68" t="s">
        <v>373</v>
      </c>
      <c r="K68" t="s">
        <v>374</v>
      </c>
      <c r="L68">
        <v>1346</v>
      </c>
      <c r="N68">
        <v>1009</v>
      </c>
      <c r="O68" t="s">
        <v>314</v>
      </c>
      <c r="P68" t="s">
        <v>314</v>
      </c>
      <c r="Q68">
        <v>1</v>
      </c>
      <c r="W68">
        <v>0</v>
      </c>
      <c r="X68">
        <v>-1553966004</v>
      </c>
      <c r="Y68">
        <v>0.01</v>
      </c>
      <c r="AA68">
        <v>28.15</v>
      </c>
      <c r="AB68">
        <v>0</v>
      </c>
      <c r="AC68">
        <v>0</v>
      </c>
      <c r="AD68">
        <v>0</v>
      </c>
      <c r="AE68">
        <v>28.15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0.01</v>
      </c>
      <c r="AU68" t="s">
        <v>3</v>
      </c>
      <c r="AV68">
        <v>0</v>
      </c>
      <c r="AW68">
        <v>2</v>
      </c>
      <c r="AX68">
        <v>52157098</v>
      </c>
      <c r="AY68">
        <v>1</v>
      </c>
      <c r="AZ68">
        <v>0</v>
      </c>
      <c r="BA68">
        <v>66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Y68*Source!I56</f>
        <v>0.1</v>
      </c>
      <c r="CY68">
        <f t="shared" si="14"/>
        <v>28.15</v>
      </c>
      <c r="CZ68">
        <f t="shared" si="15"/>
        <v>28.15</v>
      </c>
      <c r="DA68">
        <f t="shared" si="16"/>
        <v>1</v>
      </c>
      <c r="DB68">
        <f t="shared" si="12"/>
        <v>0.28000000000000003</v>
      </c>
      <c r="DC68">
        <f t="shared" si="13"/>
        <v>0</v>
      </c>
    </row>
    <row r="69" spans="1:107" x14ac:dyDescent="0.2">
      <c r="A69">
        <f>ROW(Source!A56)</f>
        <v>56</v>
      </c>
      <c r="B69">
        <v>52156631</v>
      </c>
      <c r="C69">
        <v>52157080</v>
      </c>
      <c r="D69">
        <v>45870745</v>
      </c>
      <c r="E69">
        <v>1</v>
      </c>
      <c r="F69">
        <v>1</v>
      </c>
      <c r="G69">
        <v>1</v>
      </c>
      <c r="H69">
        <v>3</v>
      </c>
      <c r="I69" t="s">
        <v>144</v>
      </c>
      <c r="J69" t="s">
        <v>146</v>
      </c>
      <c r="K69" t="s">
        <v>145</v>
      </c>
      <c r="L69">
        <v>1348</v>
      </c>
      <c r="N69">
        <v>1009</v>
      </c>
      <c r="O69" t="s">
        <v>105</v>
      </c>
      <c r="P69" t="s">
        <v>105</v>
      </c>
      <c r="Q69">
        <v>1000</v>
      </c>
      <c r="W69">
        <v>1</v>
      </c>
      <c r="X69">
        <v>-19438791</v>
      </c>
      <c r="Y69">
        <v>-5.0000000000000001E-4</v>
      </c>
      <c r="AA69">
        <v>89303.44</v>
      </c>
      <c r="AB69">
        <v>0</v>
      </c>
      <c r="AC69">
        <v>0</v>
      </c>
      <c r="AD69">
        <v>0</v>
      </c>
      <c r="AE69">
        <v>89303.44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-5.0000000000000001E-4</v>
      </c>
      <c r="AU69" t="s">
        <v>3</v>
      </c>
      <c r="AV69">
        <v>0</v>
      </c>
      <c r="AW69">
        <v>2</v>
      </c>
      <c r="AX69">
        <v>52157099</v>
      </c>
      <c r="AY69">
        <v>1</v>
      </c>
      <c r="AZ69">
        <v>6144</v>
      </c>
      <c r="BA69">
        <v>67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Y69*Source!I56</f>
        <v>-5.0000000000000001E-3</v>
      </c>
      <c r="CY69">
        <f t="shared" si="14"/>
        <v>89303.44</v>
      </c>
      <c r="CZ69">
        <f t="shared" si="15"/>
        <v>89303.44</v>
      </c>
      <c r="DA69">
        <f t="shared" si="16"/>
        <v>1</v>
      </c>
      <c r="DB69">
        <f t="shared" si="12"/>
        <v>-44.65</v>
      </c>
      <c r="DC69">
        <f t="shared" si="13"/>
        <v>0</v>
      </c>
    </row>
    <row r="70" spans="1:107" x14ac:dyDescent="0.2">
      <c r="A70">
        <f>ROW(Source!A56)</f>
        <v>56</v>
      </c>
      <c r="B70">
        <v>52156631</v>
      </c>
      <c r="C70">
        <v>52157080</v>
      </c>
      <c r="D70">
        <v>45873941</v>
      </c>
      <c r="E70">
        <v>1</v>
      </c>
      <c r="F70">
        <v>1</v>
      </c>
      <c r="G70">
        <v>1</v>
      </c>
      <c r="H70">
        <v>3</v>
      </c>
      <c r="I70" t="s">
        <v>375</v>
      </c>
      <c r="J70" t="s">
        <v>376</v>
      </c>
      <c r="K70" t="s">
        <v>377</v>
      </c>
      <c r="L70">
        <v>1346</v>
      </c>
      <c r="N70">
        <v>1009</v>
      </c>
      <c r="O70" t="s">
        <v>314</v>
      </c>
      <c r="P70" t="s">
        <v>314</v>
      </c>
      <c r="Q70">
        <v>1</v>
      </c>
      <c r="W70">
        <v>0</v>
      </c>
      <c r="X70">
        <v>1205657813</v>
      </c>
      <c r="Y70">
        <v>0.01</v>
      </c>
      <c r="AA70">
        <v>33.06</v>
      </c>
      <c r="AB70">
        <v>0</v>
      </c>
      <c r="AC70">
        <v>0</v>
      </c>
      <c r="AD70">
        <v>0</v>
      </c>
      <c r="AE70">
        <v>33.06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0.01</v>
      </c>
      <c r="AU70" t="s">
        <v>3</v>
      </c>
      <c r="AV70">
        <v>0</v>
      </c>
      <c r="AW70">
        <v>2</v>
      </c>
      <c r="AX70">
        <v>52157100</v>
      </c>
      <c r="AY70">
        <v>1</v>
      </c>
      <c r="AZ70">
        <v>0</v>
      </c>
      <c r="BA70">
        <v>68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Y70*Source!I56</f>
        <v>0.1</v>
      </c>
      <c r="CY70">
        <f t="shared" si="14"/>
        <v>33.06</v>
      </c>
      <c r="CZ70">
        <f t="shared" si="15"/>
        <v>33.06</v>
      </c>
      <c r="DA70">
        <f t="shared" si="16"/>
        <v>1</v>
      </c>
      <c r="DB70">
        <f t="shared" si="12"/>
        <v>0.33</v>
      </c>
      <c r="DC70">
        <f t="shared" si="13"/>
        <v>0</v>
      </c>
    </row>
    <row r="71" spans="1:107" x14ac:dyDescent="0.2">
      <c r="A71">
        <f>ROW(Source!A56)</f>
        <v>56</v>
      </c>
      <c r="B71">
        <v>52156631</v>
      </c>
      <c r="C71">
        <v>52157080</v>
      </c>
      <c r="D71">
        <v>45967299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1344</v>
      </c>
      <c r="N71">
        <v>1008</v>
      </c>
      <c r="O71" t="s">
        <v>366</v>
      </c>
      <c r="P71" t="s">
        <v>366</v>
      </c>
      <c r="Q71">
        <v>1</v>
      </c>
      <c r="W71">
        <v>0</v>
      </c>
      <c r="X71">
        <v>-1363992221</v>
      </c>
      <c r="Y71">
        <v>0.25</v>
      </c>
      <c r="AA71">
        <v>1</v>
      </c>
      <c r="AB71">
        <v>0</v>
      </c>
      <c r="AC71">
        <v>0</v>
      </c>
      <c r="AD71">
        <v>0</v>
      </c>
      <c r="AE71">
        <v>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0.25</v>
      </c>
      <c r="AU71" t="s">
        <v>3</v>
      </c>
      <c r="AV71">
        <v>0</v>
      </c>
      <c r="AW71">
        <v>2</v>
      </c>
      <c r="AX71">
        <v>52157101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Y71*Source!I56</f>
        <v>2.5</v>
      </c>
      <c r="CY71">
        <f t="shared" si="14"/>
        <v>1</v>
      </c>
      <c r="CZ71">
        <f t="shared" si="15"/>
        <v>1</v>
      </c>
      <c r="DA71">
        <f t="shared" si="16"/>
        <v>1</v>
      </c>
      <c r="DB71">
        <f t="shared" si="12"/>
        <v>0.25</v>
      </c>
      <c r="DC71">
        <f t="shared" si="13"/>
        <v>0</v>
      </c>
    </row>
    <row r="72" spans="1:107" x14ac:dyDescent="0.2">
      <c r="A72">
        <f>ROW(Source!A56)</f>
        <v>56</v>
      </c>
      <c r="B72">
        <v>52156631</v>
      </c>
      <c r="C72">
        <v>52157080</v>
      </c>
      <c r="D72">
        <v>0</v>
      </c>
      <c r="E72">
        <v>0</v>
      </c>
      <c r="F72">
        <v>1</v>
      </c>
      <c r="G72">
        <v>1</v>
      </c>
      <c r="H72">
        <v>3</v>
      </c>
      <c r="I72" t="s">
        <v>140</v>
      </c>
      <c r="J72" t="s">
        <v>48</v>
      </c>
      <c r="K72" t="s">
        <v>141</v>
      </c>
      <c r="L72">
        <v>1354</v>
      </c>
      <c r="N72">
        <v>1010</v>
      </c>
      <c r="O72" t="s">
        <v>37</v>
      </c>
      <c r="P72" t="s">
        <v>37</v>
      </c>
      <c r="Q72">
        <v>1</v>
      </c>
      <c r="W72">
        <v>0</v>
      </c>
      <c r="X72">
        <v>-1064050182</v>
      </c>
      <c r="Y72">
        <v>1</v>
      </c>
      <c r="AA72">
        <v>941.62</v>
      </c>
      <c r="AB72">
        <v>0</v>
      </c>
      <c r="AC72">
        <v>0</v>
      </c>
      <c r="AD72">
        <v>0</v>
      </c>
      <c r="AE72">
        <v>941.62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0</v>
      </c>
      <c r="AP72">
        <v>0</v>
      </c>
      <c r="AQ72">
        <v>0</v>
      </c>
      <c r="AR72">
        <v>0</v>
      </c>
      <c r="AS72" t="s">
        <v>3</v>
      </c>
      <c r="AT72">
        <v>1</v>
      </c>
      <c r="AU72" t="s">
        <v>3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Y72*Source!I56</f>
        <v>10</v>
      </c>
      <c r="CY72">
        <f t="shared" si="14"/>
        <v>941.62</v>
      </c>
      <c r="CZ72">
        <f t="shared" si="15"/>
        <v>941.62</v>
      </c>
      <c r="DA72">
        <f t="shared" si="16"/>
        <v>1</v>
      </c>
      <c r="DB72">
        <f t="shared" si="12"/>
        <v>941.62</v>
      </c>
      <c r="DC72">
        <f t="shared" si="13"/>
        <v>0</v>
      </c>
    </row>
    <row r="73" spans="1:107" x14ac:dyDescent="0.2">
      <c r="A73">
        <f>ROW(Source!A59)</f>
        <v>59</v>
      </c>
      <c r="B73">
        <v>52156631</v>
      </c>
      <c r="C73">
        <v>52157104</v>
      </c>
      <c r="D73">
        <v>45975157</v>
      </c>
      <c r="E73">
        <v>1</v>
      </c>
      <c r="F73">
        <v>1</v>
      </c>
      <c r="G73">
        <v>1</v>
      </c>
      <c r="H73">
        <v>1</v>
      </c>
      <c r="I73" t="s">
        <v>297</v>
      </c>
      <c r="J73" t="s">
        <v>3</v>
      </c>
      <c r="K73" t="s">
        <v>298</v>
      </c>
      <c r="L73">
        <v>1476</v>
      </c>
      <c r="N73">
        <v>1013</v>
      </c>
      <c r="O73" t="s">
        <v>283</v>
      </c>
      <c r="P73" t="s">
        <v>284</v>
      </c>
      <c r="Q73">
        <v>1</v>
      </c>
      <c r="W73">
        <v>0</v>
      </c>
      <c r="X73">
        <v>842368670</v>
      </c>
      <c r="Y73">
        <v>4.9334999999999996</v>
      </c>
      <c r="AA73">
        <v>0</v>
      </c>
      <c r="AB73">
        <v>0</v>
      </c>
      <c r="AC73">
        <v>0</v>
      </c>
      <c r="AD73">
        <v>7.21</v>
      </c>
      <c r="AE73">
        <v>0</v>
      </c>
      <c r="AF73">
        <v>0</v>
      </c>
      <c r="AG73">
        <v>0</v>
      </c>
      <c r="AH73">
        <v>7.21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4.29</v>
      </c>
      <c r="AU73" t="s">
        <v>12</v>
      </c>
      <c r="AV73">
        <v>1</v>
      </c>
      <c r="AW73">
        <v>2</v>
      </c>
      <c r="AX73">
        <v>52157115</v>
      </c>
      <c r="AY73">
        <v>1</v>
      </c>
      <c r="AZ73">
        <v>0</v>
      </c>
      <c r="BA73">
        <v>70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Y73*Source!I59</f>
        <v>3.2886710999999997</v>
      </c>
      <c r="CY73">
        <f>AD73</f>
        <v>7.21</v>
      </c>
      <c r="CZ73">
        <f>AH73</f>
        <v>7.21</v>
      </c>
      <c r="DA73">
        <f>AL73</f>
        <v>1</v>
      </c>
      <c r="DB73">
        <f>ROUND((ROUND(AT73*CZ73,2)*1.15),2)</f>
        <v>35.57</v>
      </c>
      <c r="DC73">
        <f>ROUND((ROUND(AT73*AG73,2)*1.15),2)</f>
        <v>0</v>
      </c>
    </row>
    <row r="74" spans="1:107" x14ac:dyDescent="0.2">
      <c r="A74">
        <f>ROW(Source!A59)</f>
        <v>59</v>
      </c>
      <c r="B74">
        <v>52156631</v>
      </c>
      <c r="C74">
        <v>52157104</v>
      </c>
      <c r="D74">
        <v>121548</v>
      </c>
      <c r="E74">
        <v>1</v>
      </c>
      <c r="F74">
        <v>1</v>
      </c>
      <c r="G74">
        <v>1</v>
      </c>
      <c r="H74">
        <v>1</v>
      </c>
      <c r="I74" t="s">
        <v>26</v>
      </c>
      <c r="J74" t="s">
        <v>3</v>
      </c>
      <c r="K74" t="s">
        <v>285</v>
      </c>
      <c r="L74">
        <v>608254</v>
      </c>
      <c r="N74">
        <v>1013</v>
      </c>
      <c r="O74" t="s">
        <v>286</v>
      </c>
      <c r="P74" t="s">
        <v>286</v>
      </c>
      <c r="Q74">
        <v>1</v>
      </c>
      <c r="W74">
        <v>0</v>
      </c>
      <c r="X74">
        <v>-185737400</v>
      </c>
      <c r="Y74">
        <v>1.2124999999999999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0.97</v>
      </c>
      <c r="AU74" t="s">
        <v>11</v>
      </c>
      <c r="AV74">
        <v>2</v>
      </c>
      <c r="AW74">
        <v>2</v>
      </c>
      <c r="AX74">
        <v>52157116</v>
      </c>
      <c r="AY74">
        <v>1</v>
      </c>
      <c r="AZ74">
        <v>0</v>
      </c>
      <c r="BA74">
        <v>71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Y74*Source!I59</f>
        <v>0.80825249999999993</v>
      </c>
      <c r="CY74">
        <f>AD74</f>
        <v>0</v>
      </c>
      <c r="CZ74">
        <f>AH74</f>
        <v>0</v>
      </c>
      <c r="DA74">
        <f>AL74</f>
        <v>1</v>
      </c>
      <c r="DB74">
        <f>ROUND((ROUND(AT74*CZ74,2)*1.25),2)</f>
        <v>0</v>
      </c>
      <c r="DC74">
        <f>ROUND((ROUND(AT74*AG74,2)*1.25),2)</f>
        <v>0</v>
      </c>
    </row>
    <row r="75" spans="1:107" x14ac:dyDescent="0.2">
      <c r="A75">
        <f>ROW(Source!A59)</f>
        <v>59</v>
      </c>
      <c r="B75">
        <v>52156631</v>
      </c>
      <c r="C75">
        <v>52157104</v>
      </c>
      <c r="D75">
        <v>45811486</v>
      </c>
      <c r="E75">
        <v>1</v>
      </c>
      <c r="F75">
        <v>1</v>
      </c>
      <c r="G75">
        <v>1</v>
      </c>
      <c r="H75">
        <v>2</v>
      </c>
      <c r="I75" t="s">
        <v>332</v>
      </c>
      <c r="J75" t="s">
        <v>333</v>
      </c>
      <c r="K75" t="s">
        <v>334</v>
      </c>
      <c r="L75">
        <v>45811227</v>
      </c>
      <c r="N75">
        <v>1013</v>
      </c>
      <c r="O75" t="s">
        <v>290</v>
      </c>
      <c r="P75" t="s">
        <v>290</v>
      </c>
      <c r="Q75">
        <v>1</v>
      </c>
      <c r="W75">
        <v>0</v>
      </c>
      <c r="X75">
        <v>1026580179</v>
      </c>
      <c r="Y75">
        <v>1.2124999999999999</v>
      </c>
      <c r="AA75">
        <v>0</v>
      </c>
      <c r="AB75">
        <v>83.54</v>
      </c>
      <c r="AC75">
        <v>9.8800000000000008</v>
      </c>
      <c r="AD75">
        <v>0</v>
      </c>
      <c r="AE75">
        <v>0</v>
      </c>
      <c r="AF75">
        <v>83.54</v>
      </c>
      <c r="AG75">
        <v>9.8800000000000008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0.97</v>
      </c>
      <c r="AU75" t="s">
        <v>11</v>
      </c>
      <c r="AV75">
        <v>0</v>
      </c>
      <c r="AW75">
        <v>2</v>
      </c>
      <c r="AX75">
        <v>52157117</v>
      </c>
      <c r="AY75">
        <v>1</v>
      </c>
      <c r="AZ75">
        <v>0</v>
      </c>
      <c r="BA75">
        <v>72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Y75*Source!I59</f>
        <v>0.80825249999999993</v>
      </c>
      <c r="CY75">
        <f>AB75</f>
        <v>83.54</v>
      </c>
      <c r="CZ75">
        <f>AF75</f>
        <v>83.54</v>
      </c>
      <c r="DA75">
        <f>AJ75</f>
        <v>1</v>
      </c>
      <c r="DB75">
        <f>ROUND((ROUND(AT75*CZ75,2)*1.25),2)</f>
        <v>101.29</v>
      </c>
      <c r="DC75">
        <f>ROUND((ROUND(AT75*AG75,2)*1.25),2)</f>
        <v>11.98</v>
      </c>
    </row>
    <row r="76" spans="1:107" x14ac:dyDescent="0.2">
      <c r="A76">
        <f>ROW(Source!A59)</f>
        <v>59</v>
      </c>
      <c r="B76">
        <v>52156631</v>
      </c>
      <c r="C76">
        <v>52157104</v>
      </c>
      <c r="D76">
        <v>45813321</v>
      </c>
      <c r="E76">
        <v>1</v>
      </c>
      <c r="F76">
        <v>1</v>
      </c>
      <c r="G76">
        <v>1</v>
      </c>
      <c r="H76">
        <v>2</v>
      </c>
      <c r="I76" t="s">
        <v>302</v>
      </c>
      <c r="J76" t="s">
        <v>303</v>
      </c>
      <c r="K76" t="s">
        <v>304</v>
      </c>
      <c r="L76">
        <v>45811227</v>
      </c>
      <c r="N76">
        <v>1013</v>
      </c>
      <c r="O76" t="s">
        <v>290</v>
      </c>
      <c r="P76" t="s">
        <v>290</v>
      </c>
      <c r="Q76">
        <v>1</v>
      </c>
      <c r="W76">
        <v>0</v>
      </c>
      <c r="X76">
        <v>771999048</v>
      </c>
      <c r="Y76">
        <v>0.27500000000000002</v>
      </c>
      <c r="AA76">
        <v>0</v>
      </c>
      <c r="AB76">
        <v>86.55</v>
      </c>
      <c r="AC76">
        <v>0</v>
      </c>
      <c r="AD76">
        <v>0</v>
      </c>
      <c r="AE76">
        <v>0</v>
      </c>
      <c r="AF76">
        <v>86.55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0.22</v>
      </c>
      <c r="AU76" t="s">
        <v>11</v>
      </c>
      <c r="AV76">
        <v>0</v>
      </c>
      <c r="AW76">
        <v>2</v>
      </c>
      <c r="AX76">
        <v>52157118</v>
      </c>
      <c r="AY76">
        <v>1</v>
      </c>
      <c r="AZ76">
        <v>0</v>
      </c>
      <c r="BA76">
        <v>73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Y76*Source!I59</f>
        <v>0.18331500000000001</v>
      </c>
      <c r="CY76">
        <f>AB76</f>
        <v>86.55</v>
      </c>
      <c r="CZ76">
        <f>AF76</f>
        <v>86.55</v>
      </c>
      <c r="DA76">
        <f>AJ76</f>
        <v>1</v>
      </c>
      <c r="DB76">
        <f>ROUND((ROUND(AT76*CZ76,2)*1.25),2)</f>
        <v>23.8</v>
      </c>
      <c r="DC76">
        <f>ROUND((ROUND(AT76*AG76,2)*1.25),2)</f>
        <v>0</v>
      </c>
    </row>
    <row r="77" spans="1:107" x14ac:dyDescent="0.2">
      <c r="A77">
        <f>ROW(Source!A59)</f>
        <v>59</v>
      </c>
      <c r="B77">
        <v>52156631</v>
      </c>
      <c r="C77">
        <v>52157104</v>
      </c>
      <c r="D77">
        <v>45815427</v>
      </c>
      <c r="E77">
        <v>1</v>
      </c>
      <c r="F77">
        <v>1</v>
      </c>
      <c r="G77">
        <v>1</v>
      </c>
      <c r="H77">
        <v>3</v>
      </c>
      <c r="I77" t="s">
        <v>308</v>
      </c>
      <c r="J77" t="s">
        <v>309</v>
      </c>
      <c r="K77" t="s">
        <v>310</v>
      </c>
      <c r="L77">
        <v>1348</v>
      </c>
      <c r="N77">
        <v>1009</v>
      </c>
      <c r="O77" t="s">
        <v>105</v>
      </c>
      <c r="P77" t="s">
        <v>105</v>
      </c>
      <c r="Q77">
        <v>1000</v>
      </c>
      <c r="W77">
        <v>0</v>
      </c>
      <c r="X77">
        <v>941420639</v>
      </c>
      <c r="Y77">
        <v>3.0000000000000001E-5</v>
      </c>
      <c r="AA77">
        <v>9220.7199999999993</v>
      </c>
      <c r="AB77">
        <v>0</v>
      </c>
      <c r="AC77">
        <v>0</v>
      </c>
      <c r="AD77">
        <v>0</v>
      </c>
      <c r="AE77">
        <v>9220.7199999999993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3.0000000000000001E-5</v>
      </c>
      <c r="AU77" t="s">
        <v>3</v>
      </c>
      <c r="AV77">
        <v>0</v>
      </c>
      <c r="AW77">
        <v>2</v>
      </c>
      <c r="AX77">
        <v>52157119</v>
      </c>
      <c r="AY77">
        <v>1</v>
      </c>
      <c r="AZ77">
        <v>0</v>
      </c>
      <c r="BA77">
        <v>74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Y77*Source!I59</f>
        <v>1.9998000000000001E-5</v>
      </c>
      <c r="CY77">
        <f t="shared" ref="CY77:CY82" si="17">AA77</f>
        <v>9220.7199999999993</v>
      </c>
      <c r="CZ77">
        <f t="shared" ref="CZ77:CZ82" si="18">AE77</f>
        <v>9220.7199999999993</v>
      </c>
      <c r="DA77">
        <f t="shared" ref="DA77:DA82" si="19">AI77</f>
        <v>1</v>
      </c>
      <c r="DB77">
        <f t="shared" ref="DB77:DB82" si="20">ROUND(ROUND(AT77*CZ77,2),2)</f>
        <v>0.28000000000000003</v>
      </c>
      <c r="DC77">
        <f t="shared" ref="DC77:DC82" si="21">ROUND(ROUND(AT77*AG77,2),2)</f>
        <v>0</v>
      </c>
    </row>
    <row r="78" spans="1:107" x14ac:dyDescent="0.2">
      <c r="A78">
        <f>ROW(Source!A59)</f>
        <v>59</v>
      </c>
      <c r="B78">
        <v>52156631</v>
      </c>
      <c r="C78">
        <v>52157104</v>
      </c>
      <c r="D78">
        <v>45815764</v>
      </c>
      <c r="E78">
        <v>1</v>
      </c>
      <c r="F78">
        <v>1</v>
      </c>
      <c r="G78">
        <v>1</v>
      </c>
      <c r="H78">
        <v>3</v>
      </c>
      <c r="I78" t="s">
        <v>378</v>
      </c>
      <c r="J78" t="s">
        <v>379</v>
      </c>
      <c r="K78" t="s">
        <v>380</v>
      </c>
      <c r="L78">
        <v>1348</v>
      </c>
      <c r="N78">
        <v>1009</v>
      </c>
      <c r="O78" t="s">
        <v>105</v>
      </c>
      <c r="P78" t="s">
        <v>105</v>
      </c>
      <c r="Q78">
        <v>1000</v>
      </c>
      <c r="W78">
        <v>0</v>
      </c>
      <c r="X78">
        <v>-1714998041</v>
      </c>
      <c r="Y78">
        <v>3.0000000000000001E-5</v>
      </c>
      <c r="AA78">
        <v>6179.8</v>
      </c>
      <c r="AB78">
        <v>0</v>
      </c>
      <c r="AC78">
        <v>0</v>
      </c>
      <c r="AD78">
        <v>0</v>
      </c>
      <c r="AE78">
        <v>6179.8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3.0000000000000001E-5</v>
      </c>
      <c r="AU78" t="s">
        <v>3</v>
      </c>
      <c r="AV78">
        <v>0</v>
      </c>
      <c r="AW78">
        <v>2</v>
      </c>
      <c r="AX78">
        <v>52157120</v>
      </c>
      <c r="AY78">
        <v>1</v>
      </c>
      <c r="AZ78">
        <v>0</v>
      </c>
      <c r="BA78">
        <v>75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Y78*Source!I59</f>
        <v>1.9998000000000001E-5</v>
      </c>
      <c r="CY78">
        <f t="shared" si="17"/>
        <v>6179.8</v>
      </c>
      <c r="CZ78">
        <f t="shared" si="18"/>
        <v>6179.8</v>
      </c>
      <c r="DA78">
        <f t="shared" si="19"/>
        <v>1</v>
      </c>
      <c r="DB78">
        <f t="shared" si="20"/>
        <v>0.19</v>
      </c>
      <c r="DC78">
        <f t="shared" si="21"/>
        <v>0</v>
      </c>
    </row>
    <row r="79" spans="1:107" x14ac:dyDescent="0.2">
      <c r="A79">
        <f>ROW(Source!A59)</f>
        <v>59</v>
      </c>
      <c r="B79">
        <v>52156631</v>
      </c>
      <c r="C79">
        <v>52157104</v>
      </c>
      <c r="D79">
        <v>45816364</v>
      </c>
      <c r="E79">
        <v>1</v>
      </c>
      <c r="F79">
        <v>1</v>
      </c>
      <c r="G79">
        <v>1</v>
      </c>
      <c r="H79">
        <v>3</v>
      </c>
      <c r="I79" t="s">
        <v>311</v>
      </c>
      <c r="J79" t="s">
        <v>312</v>
      </c>
      <c r="K79" t="s">
        <v>313</v>
      </c>
      <c r="L79">
        <v>1346</v>
      </c>
      <c r="N79">
        <v>1009</v>
      </c>
      <c r="O79" t="s">
        <v>314</v>
      </c>
      <c r="P79" t="s">
        <v>314</v>
      </c>
      <c r="Q79">
        <v>1</v>
      </c>
      <c r="W79">
        <v>0</v>
      </c>
      <c r="X79">
        <v>-78230858</v>
      </c>
      <c r="Y79">
        <v>0.02</v>
      </c>
      <c r="AA79">
        <v>1.69</v>
      </c>
      <c r="AB79">
        <v>0</v>
      </c>
      <c r="AC79">
        <v>0</v>
      </c>
      <c r="AD79">
        <v>0</v>
      </c>
      <c r="AE79">
        <v>1.69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0.02</v>
      </c>
      <c r="AU79" t="s">
        <v>3</v>
      </c>
      <c r="AV79">
        <v>0</v>
      </c>
      <c r="AW79">
        <v>2</v>
      </c>
      <c r="AX79">
        <v>52157122</v>
      </c>
      <c r="AY79">
        <v>1</v>
      </c>
      <c r="AZ79">
        <v>0</v>
      </c>
      <c r="BA79">
        <v>77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Y79*Source!I59</f>
        <v>1.3332E-2</v>
      </c>
      <c r="CY79">
        <f t="shared" si="17"/>
        <v>1.69</v>
      </c>
      <c r="CZ79">
        <f t="shared" si="18"/>
        <v>1.69</v>
      </c>
      <c r="DA79">
        <f t="shared" si="19"/>
        <v>1</v>
      </c>
      <c r="DB79">
        <f t="shared" si="20"/>
        <v>0.03</v>
      </c>
      <c r="DC79">
        <f t="shared" si="21"/>
        <v>0</v>
      </c>
    </row>
    <row r="80" spans="1:107" x14ac:dyDescent="0.2">
      <c r="A80">
        <f>ROW(Source!A59)</f>
        <v>59</v>
      </c>
      <c r="B80">
        <v>52156631</v>
      </c>
      <c r="C80">
        <v>52157104</v>
      </c>
      <c r="D80">
        <v>45817071</v>
      </c>
      <c r="E80">
        <v>1</v>
      </c>
      <c r="F80">
        <v>1</v>
      </c>
      <c r="G80">
        <v>1</v>
      </c>
      <c r="H80">
        <v>3</v>
      </c>
      <c r="I80" t="s">
        <v>315</v>
      </c>
      <c r="J80" t="s">
        <v>316</v>
      </c>
      <c r="K80" t="s">
        <v>317</v>
      </c>
      <c r="L80">
        <v>1346</v>
      </c>
      <c r="N80">
        <v>1009</v>
      </c>
      <c r="O80" t="s">
        <v>314</v>
      </c>
      <c r="P80" t="s">
        <v>314</v>
      </c>
      <c r="Q80">
        <v>1</v>
      </c>
      <c r="W80">
        <v>0</v>
      </c>
      <c r="X80">
        <v>1644121390</v>
      </c>
      <c r="Y80">
        <v>0.1</v>
      </c>
      <c r="AA80">
        <v>13.33</v>
      </c>
      <c r="AB80">
        <v>0</v>
      </c>
      <c r="AC80">
        <v>0</v>
      </c>
      <c r="AD80">
        <v>0</v>
      </c>
      <c r="AE80">
        <v>13.33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0.1</v>
      </c>
      <c r="AU80" t="s">
        <v>3</v>
      </c>
      <c r="AV80">
        <v>0</v>
      </c>
      <c r="AW80">
        <v>2</v>
      </c>
      <c r="AX80">
        <v>52157123</v>
      </c>
      <c r="AY80">
        <v>1</v>
      </c>
      <c r="AZ80">
        <v>0</v>
      </c>
      <c r="BA80">
        <v>78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Y80*Source!I59</f>
        <v>6.6659999999999997E-2</v>
      </c>
      <c r="CY80">
        <f t="shared" si="17"/>
        <v>13.33</v>
      </c>
      <c r="CZ80">
        <f t="shared" si="18"/>
        <v>13.33</v>
      </c>
      <c r="DA80">
        <f t="shared" si="19"/>
        <v>1</v>
      </c>
      <c r="DB80">
        <f t="shared" si="20"/>
        <v>1.33</v>
      </c>
      <c r="DC80">
        <f t="shared" si="21"/>
        <v>0</v>
      </c>
    </row>
    <row r="81" spans="1:107" x14ac:dyDescent="0.2">
      <c r="A81">
        <f>ROW(Source!A59)</f>
        <v>59</v>
      </c>
      <c r="B81">
        <v>52156631</v>
      </c>
      <c r="C81">
        <v>52157104</v>
      </c>
      <c r="D81">
        <v>45830136</v>
      </c>
      <c r="E81">
        <v>1</v>
      </c>
      <c r="F81">
        <v>1</v>
      </c>
      <c r="G81">
        <v>1</v>
      </c>
      <c r="H81">
        <v>3</v>
      </c>
      <c r="I81" t="s">
        <v>318</v>
      </c>
      <c r="J81" t="s">
        <v>319</v>
      </c>
      <c r="K81" t="s">
        <v>320</v>
      </c>
      <c r="L81">
        <v>1348</v>
      </c>
      <c r="N81">
        <v>1009</v>
      </c>
      <c r="O81" t="s">
        <v>105</v>
      </c>
      <c r="P81" t="s">
        <v>105</v>
      </c>
      <c r="Q81">
        <v>1000</v>
      </c>
      <c r="W81">
        <v>0</v>
      </c>
      <c r="X81">
        <v>183382560</v>
      </c>
      <c r="Y81">
        <v>1E-4</v>
      </c>
      <c r="AA81">
        <v>9368.7199999999993</v>
      </c>
      <c r="AB81">
        <v>0</v>
      </c>
      <c r="AC81">
        <v>0</v>
      </c>
      <c r="AD81">
        <v>0</v>
      </c>
      <c r="AE81">
        <v>9368.7199999999993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1E-4</v>
      </c>
      <c r="AU81" t="s">
        <v>3</v>
      </c>
      <c r="AV81">
        <v>0</v>
      </c>
      <c r="AW81">
        <v>2</v>
      </c>
      <c r="AX81">
        <v>52157126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Y81*Source!I59</f>
        <v>6.6660000000000002E-5</v>
      </c>
      <c r="CY81">
        <f t="shared" si="17"/>
        <v>9368.7199999999993</v>
      </c>
      <c r="CZ81">
        <f t="shared" si="18"/>
        <v>9368.7199999999993</v>
      </c>
      <c r="DA81">
        <f t="shared" si="19"/>
        <v>1</v>
      </c>
      <c r="DB81">
        <f t="shared" si="20"/>
        <v>0.94</v>
      </c>
      <c r="DC81">
        <f t="shared" si="21"/>
        <v>0</v>
      </c>
    </row>
    <row r="82" spans="1:107" x14ac:dyDescent="0.2">
      <c r="A82">
        <f>ROW(Source!A59)</f>
        <v>59</v>
      </c>
      <c r="B82">
        <v>52156631</v>
      </c>
      <c r="C82">
        <v>52157104</v>
      </c>
      <c r="D82">
        <v>45887416</v>
      </c>
      <c r="E82">
        <v>1</v>
      </c>
      <c r="F82">
        <v>1</v>
      </c>
      <c r="G82">
        <v>1</v>
      </c>
      <c r="H82">
        <v>3</v>
      </c>
      <c r="I82" t="s">
        <v>155</v>
      </c>
      <c r="J82" t="s">
        <v>157</v>
      </c>
      <c r="K82" t="s">
        <v>156</v>
      </c>
      <c r="L82">
        <v>1354</v>
      </c>
      <c r="N82">
        <v>1010</v>
      </c>
      <c r="O82" t="s">
        <v>37</v>
      </c>
      <c r="P82" t="s">
        <v>37</v>
      </c>
      <c r="Q82">
        <v>1</v>
      </c>
      <c r="W82">
        <v>0</v>
      </c>
      <c r="X82">
        <v>371868375</v>
      </c>
      <c r="Y82">
        <v>3.0003000000000002</v>
      </c>
      <c r="AA82">
        <v>51.33</v>
      </c>
      <c r="AB82">
        <v>0</v>
      </c>
      <c r="AC82">
        <v>0</v>
      </c>
      <c r="AD82">
        <v>0</v>
      </c>
      <c r="AE82">
        <v>51.33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0</v>
      </c>
      <c r="AP82">
        <v>0</v>
      </c>
      <c r="AQ82">
        <v>0</v>
      </c>
      <c r="AR82">
        <v>0</v>
      </c>
      <c r="AS82" t="s">
        <v>3</v>
      </c>
      <c r="AT82">
        <v>3.0003000000000002</v>
      </c>
      <c r="AU82" t="s">
        <v>3</v>
      </c>
      <c r="AV82">
        <v>0</v>
      </c>
      <c r="AW82">
        <v>1</v>
      </c>
      <c r="AX82">
        <v>-1</v>
      </c>
      <c r="AY82">
        <v>0</v>
      </c>
      <c r="AZ82">
        <v>0</v>
      </c>
      <c r="BA82" t="s">
        <v>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Y82*Source!I59</f>
        <v>1.9999999800000001</v>
      </c>
      <c r="CY82">
        <f t="shared" si="17"/>
        <v>51.33</v>
      </c>
      <c r="CZ82">
        <f t="shared" si="18"/>
        <v>51.33</v>
      </c>
      <c r="DA82">
        <f t="shared" si="19"/>
        <v>1</v>
      </c>
      <c r="DB82">
        <f t="shared" si="20"/>
        <v>154.01</v>
      </c>
      <c r="DC82">
        <f t="shared" si="21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8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52156939</v>
      </c>
      <c r="C1">
        <v>52156933</v>
      </c>
      <c r="D1">
        <v>45976891</v>
      </c>
      <c r="E1">
        <v>1</v>
      </c>
      <c r="F1">
        <v>1</v>
      </c>
      <c r="G1">
        <v>1</v>
      </c>
      <c r="H1">
        <v>1</v>
      </c>
      <c r="I1" t="s">
        <v>281</v>
      </c>
      <c r="J1" t="s">
        <v>3</v>
      </c>
      <c r="K1" t="s">
        <v>282</v>
      </c>
      <c r="L1">
        <v>1476</v>
      </c>
      <c r="N1">
        <v>1013</v>
      </c>
      <c r="O1" t="s">
        <v>283</v>
      </c>
      <c r="P1" t="s">
        <v>284</v>
      </c>
      <c r="Q1">
        <v>1</v>
      </c>
      <c r="X1">
        <v>0.44</v>
      </c>
      <c r="Y1">
        <v>0</v>
      </c>
      <c r="Z1">
        <v>0</v>
      </c>
      <c r="AA1">
        <v>0</v>
      </c>
      <c r="AB1">
        <v>6.65</v>
      </c>
      <c r="AC1">
        <v>0</v>
      </c>
      <c r="AD1">
        <v>1</v>
      </c>
      <c r="AE1">
        <v>1</v>
      </c>
      <c r="AF1" t="s">
        <v>12</v>
      </c>
      <c r="AG1">
        <v>0.50600000000000001</v>
      </c>
      <c r="AH1">
        <v>2</v>
      </c>
      <c r="AI1">
        <v>52156934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52156940</v>
      </c>
      <c r="C2">
        <v>52156933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285</v>
      </c>
      <c r="L2">
        <v>608254</v>
      </c>
      <c r="N2">
        <v>1013</v>
      </c>
      <c r="O2" t="s">
        <v>286</v>
      </c>
      <c r="P2" t="s">
        <v>286</v>
      </c>
      <c r="Q2">
        <v>1</v>
      </c>
      <c r="X2">
        <v>0.48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11</v>
      </c>
      <c r="AG2">
        <v>0.6</v>
      </c>
      <c r="AH2">
        <v>2</v>
      </c>
      <c r="AI2">
        <v>52156935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52156941</v>
      </c>
      <c r="C3">
        <v>52156933</v>
      </c>
      <c r="D3">
        <v>45811233</v>
      </c>
      <c r="E3">
        <v>1</v>
      </c>
      <c r="F3">
        <v>1</v>
      </c>
      <c r="G3">
        <v>1</v>
      </c>
      <c r="H3">
        <v>2</v>
      </c>
      <c r="I3" t="s">
        <v>287</v>
      </c>
      <c r="J3" t="s">
        <v>288</v>
      </c>
      <c r="K3" t="s">
        <v>289</v>
      </c>
      <c r="L3">
        <v>45811227</v>
      </c>
      <c r="N3">
        <v>1013</v>
      </c>
      <c r="O3" t="s">
        <v>290</v>
      </c>
      <c r="P3" t="s">
        <v>290</v>
      </c>
      <c r="Q3">
        <v>1</v>
      </c>
      <c r="X3">
        <v>0.24</v>
      </c>
      <c r="Y3">
        <v>0</v>
      </c>
      <c r="Z3">
        <v>4.01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11</v>
      </c>
      <c r="AG3">
        <v>0.3</v>
      </c>
      <c r="AH3">
        <v>2</v>
      </c>
      <c r="AI3">
        <v>52156936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ROW(Source!A32)</f>
        <v>32</v>
      </c>
      <c r="B4">
        <v>52156942</v>
      </c>
      <c r="C4">
        <v>52156933</v>
      </c>
      <c r="D4">
        <v>45811258</v>
      </c>
      <c r="E4">
        <v>1</v>
      </c>
      <c r="F4">
        <v>1</v>
      </c>
      <c r="G4">
        <v>1</v>
      </c>
      <c r="H4">
        <v>2</v>
      </c>
      <c r="I4" t="s">
        <v>291</v>
      </c>
      <c r="J4" t="s">
        <v>292</v>
      </c>
      <c r="K4" t="s">
        <v>293</v>
      </c>
      <c r="L4">
        <v>45811227</v>
      </c>
      <c r="N4">
        <v>1013</v>
      </c>
      <c r="O4" t="s">
        <v>290</v>
      </c>
      <c r="P4" t="s">
        <v>290</v>
      </c>
      <c r="Q4">
        <v>1</v>
      </c>
      <c r="X4">
        <v>0.24</v>
      </c>
      <c r="Y4">
        <v>0</v>
      </c>
      <c r="Z4">
        <v>74.37</v>
      </c>
      <c r="AA4">
        <v>13.26</v>
      </c>
      <c r="AB4">
        <v>0</v>
      </c>
      <c r="AC4">
        <v>0</v>
      </c>
      <c r="AD4">
        <v>1</v>
      </c>
      <c r="AE4">
        <v>0</v>
      </c>
      <c r="AF4" t="s">
        <v>11</v>
      </c>
      <c r="AG4">
        <v>0.3</v>
      </c>
      <c r="AH4">
        <v>2</v>
      </c>
      <c r="AI4">
        <v>52156937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52156943</v>
      </c>
      <c r="C5">
        <v>52156933</v>
      </c>
      <c r="D5">
        <v>45811353</v>
      </c>
      <c r="E5">
        <v>1</v>
      </c>
      <c r="F5">
        <v>1</v>
      </c>
      <c r="G5">
        <v>1</v>
      </c>
      <c r="H5">
        <v>2</v>
      </c>
      <c r="I5" t="s">
        <v>294</v>
      </c>
      <c r="J5" t="s">
        <v>295</v>
      </c>
      <c r="K5" t="s">
        <v>296</v>
      </c>
      <c r="L5">
        <v>45811227</v>
      </c>
      <c r="N5">
        <v>1013</v>
      </c>
      <c r="O5" t="s">
        <v>290</v>
      </c>
      <c r="P5" t="s">
        <v>290</v>
      </c>
      <c r="Q5">
        <v>1</v>
      </c>
      <c r="X5">
        <v>0.24</v>
      </c>
      <c r="Y5">
        <v>0</v>
      </c>
      <c r="Z5">
        <v>111.75</v>
      </c>
      <c r="AA5">
        <v>13.26</v>
      </c>
      <c r="AB5">
        <v>0</v>
      </c>
      <c r="AC5">
        <v>0</v>
      </c>
      <c r="AD5">
        <v>1</v>
      </c>
      <c r="AE5">
        <v>0</v>
      </c>
      <c r="AF5" t="s">
        <v>11</v>
      </c>
      <c r="AG5">
        <v>0.3</v>
      </c>
      <c r="AH5">
        <v>2</v>
      </c>
      <c r="AI5">
        <v>52156938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52156949</v>
      </c>
      <c r="C6">
        <v>52156944</v>
      </c>
      <c r="D6">
        <v>45976891</v>
      </c>
      <c r="E6">
        <v>1</v>
      </c>
      <c r="F6">
        <v>1</v>
      </c>
      <c r="G6">
        <v>1</v>
      </c>
      <c r="H6">
        <v>1</v>
      </c>
      <c r="I6" t="s">
        <v>281</v>
      </c>
      <c r="J6" t="s">
        <v>3</v>
      </c>
      <c r="K6" t="s">
        <v>282</v>
      </c>
      <c r="L6">
        <v>1476</v>
      </c>
      <c r="N6">
        <v>1013</v>
      </c>
      <c r="O6" t="s">
        <v>283</v>
      </c>
      <c r="P6" t="s">
        <v>284</v>
      </c>
      <c r="Q6">
        <v>1</v>
      </c>
      <c r="X6">
        <v>0.25</v>
      </c>
      <c r="Y6">
        <v>0</v>
      </c>
      <c r="Z6">
        <v>0</v>
      </c>
      <c r="AA6">
        <v>0</v>
      </c>
      <c r="AB6">
        <v>6.65</v>
      </c>
      <c r="AC6">
        <v>0</v>
      </c>
      <c r="AD6">
        <v>1</v>
      </c>
      <c r="AE6">
        <v>1</v>
      </c>
      <c r="AF6" t="s">
        <v>12</v>
      </c>
      <c r="AG6">
        <v>0.28749999999999998</v>
      </c>
      <c r="AH6">
        <v>2</v>
      </c>
      <c r="AI6">
        <v>52156945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ROW(Source!A33)</f>
        <v>33</v>
      </c>
      <c r="B7">
        <v>52156950</v>
      </c>
      <c r="C7">
        <v>52156944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285</v>
      </c>
      <c r="L7">
        <v>608254</v>
      </c>
      <c r="N7">
        <v>1013</v>
      </c>
      <c r="O7" t="s">
        <v>286</v>
      </c>
      <c r="P7" t="s">
        <v>286</v>
      </c>
      <c r="Q7">
        <v>1</v>
      </c>
      <c r="X7">
        <v>0.14000000000000001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11</v>
      </c>
      <c r="AG7">
        <v>0.17500000000000002</v>
      </c>
      <c r="AH7">
        <v>2</v>
      </c>
      <c r="AI7">
        <v>52156946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ROW(Source!A33)</f>
        <v>33</v>
      </c>
      <c r="B8">
        <v>52156951</v>
      </c>
      <c r="C8">
        <v>52156944</v>
      </c>
      <c r="D8">
        <v>45811233</v>
      </c>
      <c r="E8">
        <v>1</v>
      </c>
      <c r="F8">
        <v>1</v>
      </c>
      <c r="G8">
        <v>1</v>
      </c>
      <c r="H8">
        <v>2</v>
      </c>
      <c r="I8" t="s">
        <v>287</v>
      </c>
      <c r="J8" t="s">
        <v>288</v>
      </c>
      <c r="K8" t="s">
        <v>289</v>
      </c>
      <c r="L8">
        <v>45811227</v>
      </c>
      <c r="N8">
        <v>1013</v>
      </c>
      <c r="O8" t="s">
        <v>290</v>
      </c>
      <c r="P8" t="s">
        <v>290</v>
      </c>
      <c r="Q8">
        <v>1</v>
      </c>
      <c r="X8">
        <v>0.14000000000000001</v>
      </c>
      <c r="Y8">
        <v>0</v>
      </c>
      <c r="Z8">
        <v>4.01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11</v>
      </c>
      <c r="AG8">
        <v>0.17500000000000002</v>
      </c>
      <c r="AH8">
        <v>2</v>
      </c>
      <c r="AI8">
        <v>52156947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ROW(Source!A33)</f>
        <v>33</v>
      </c>
      <c r="B9">
        <v>52156952</v>
      </c>
      <c r="C9">
        <v>52156944</v>
      </c>
      <c r="D9">
        <v>45811258</v>
      </c>
      <c r="E9">
        <v>1</v>
      </c>
      <c r="F9">
        <v>1</v>
      </c>
      <c r="G9">
        <v>1</v>
      </c>
      <c r="H9">
        <v>2</v>
      </c>
      <c r="I9" t="s">
        <v>291</v>
      </c>
      <c r="J9" t="s">
        <v>292</v>
      </c>
      <c r="K9" t="s">
        <v>293</v>
      </c>
      <c r="L9">
        <v>45811227</v>
      </c>
      <c r="N9">
        <v>1013</v>
      </c>
      <c r="O9" t="s">
        <v>290</v>
      </c>
      <c r="P9" t="s">
        <v>290</v>
      </c>
      <c r="Q9">
        <v>1</v>
      </c>
      <c r="X9">
        <v>0.14000000000000001</v>
      </c>
      <c r="Y9">
        <v>0</v>
      </c>
      <c r="Z9">
        <v>74.37</v>
      </c>
      <c r="AA9">
        <v>13.26</v>
      </c>
      <c r="AB9">
        <v>0</v>
      </c>
      <c r="AC9">
        <v>0</v>
      </c>
      <c r="AD9">
        <v>1</v>
      </c>
      <c r="AE9">
        <v>0</v>
      </c>
      <c r="AF9" t="s">
        <v>11</v>
      </c>
      <c r="AG9">
        <v>0.17500000000000002</v>
      </c>
      <c r="AH9">
        <v>2</v>
      </c>
      <c r="AI9">
        <v>52156948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ROW(Source!A34)</f>
        <v>34</v>
      </c>
      <c r="B10">
        <v>52156965</v>
      </c>
      <c r="C10">
        <v>52156953</v>
      </c>
      <c r="D10">
        <v>45975157</v>
      </c>
      <c r="E10">
        <v>1</v>
      </c>
      <c r="F10">
        <v>1</v>
      </c>
      <c r="G10">
        <v>1</v>
      </c>
      <c r="H10">
        <v>1</v>
      </c>
      <c r="I10" t="s">
        <v>297</v>
      </c>
      <c r="J10" t="s">
        <v>3</v>
      </c>
      <c r="K10" t="s">
        <v>298</v>
      </c>
      <c r="L10">
        <v>1476</v>
      </c>
      <c r="N10">
        <v>1013</v>
      </c>
      <c r="O10" t="s">
        <v>283</v>
      </c>
      <c r="P10" t="s">
        <v>284</v>
      </c>
      <c r="Q10">
        <v>1</v>
      </c>
      <c r="X10">
        <v>3.8</v>
      </c>
      <c r="Y10">
        <v>0</v>
      </c>
      <c r="Z10">
        <v>0</v>
      </c>
      <c r="AA10">
        <v>0</v>
      </c>
      <c r="AB10">
        <v>7.21</v>
      </c>
      <c r="AC10">
        <v>0</v>
      </c>
      <c r="AD10">
        <v>1</v>
      </c>
      <c r="AE10">
        <v>1</v>
      </c>
      <c r="AF10" t="s">
        <v>12</v>
      </c>
      <c r="AG10">
        <v>4.3699999999999992</v>
      </c>
      <c r="AH10">
        <v>2</v>
      </c>
      <c r="AI10">
        <v>52156954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52156966</v>
      </c>
      <c r="C11">
        <v>52156953</v>
      </c>
      <c r="D11">
        <v>121548</v>
      </c>
      <c r="E11">
        <v>1</v>
      </c>
      <c r="F11">
        <v>1</v>
      </c>
      <c r="G11">
        <v>1</v>
      </c>
      <c r="H11">
        <v>1</v>
      </c>
      <c r="I11" t="s">
        <v>26</v>
      </c>
      <c r="J11" t="s">
        <v>3</v>
      </c>
      <c r="K11" t="s">
        <v>285</v>
      </c>
      <c r="L11">
        <v>608254</v>
      </c>
      <c r="N11">
        <v>1013</v>
      </c>
      <c r="O11" t="s">
        <v>286</v>
      </c>
      <c r="P11" t="s">
        <v>286</v>
      </c>
      <c r="Q11">
        <v>1</v>
      </c>
      <c r="X11">
        <v>0.78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2</v>
      </c>
      <c r="AF11" t="s">
        <v>11</v>
      </c>
      <c r="AG11">
        <v>0.97500000000000009</v>
      </c>
      <c r="AH11">
        <v>2</v>
      </c>
      <c r="AI11">
        <v>52156955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ROW(Source!A34)</f>
        <v>34</v>
      </c>
      <c r="B12">
        <v>52156967</v>
      </c>
      <c r="C12">
        <v>52156953</v>
      </c>
      <c r="D12">
        <v>45812380</v>
      </c>
      <c r="E12">
        <v>1</v>
      </c>
      <c r="F12">
        <v>1</v>
      </c>
      <c r="G12">
        <v>1</v>
      </c>
      <c r="H12">
        <v>2</v>
      </c>
      <c r="I12" t="s">
        <v>299</v>
      </c>
      <c r="J12" t="s">
        <v>300</v>
      </c>
      <c r="K12" t="s">
        <v>301</v>
      </c>
      <c r="L12">
        <v>45811227</v>
      </c>
      <c r="N12">
        <v>1013</v>
      </c>
      <c r="O12" t="s">
        <v>290</v>
      </c>
      <c r="P12" t="s">
        <v>290</v>
      </c>
      <c r="Q12">
        <v>1</v>
      </c>
      <c r="X12">
        <v>0.78</v>
      </c>
      <c r="Y12">
        <v>0</v>
      </c>
      <c r="Z12">
        <v>138.32</v>
      </c>
      <c r="AA12">
        <v>11.38</v>
      </c>
      <c r="AB12">
        <v>0</v>
      </c>
      <c r="AC12">
        <v>0</v>
      </c>
      <c r="AD12">
        <v>1</v>
      </c>
      <c r="AE12">
        <v>0</v>
      </c>
      <c r="AF12" t="s">
        <v>11</v>
      </c>
      <c r="AG12">
        <v>0.97500000000000009</v>
      </c>
      <c r="AH12">
        <v>2</v>
      </c>
      <c r="AI12">
        <v>52156956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52156968</v>
      </c>
      <c r="C13">
        <v>52156953</v>
      </c>
      <c r="D13">
        <v>45813321</v>
      </c>
      <c r="E13">
        <v>1</v>
      </c>
      <c r="F13">
        <v>1</v>
      </c>
      <c r="G13">
        <v>1</v>
      </c>
      <c r="H13">
        <v>2</v>
      </c>
      <c r="I13" t="s">
        <v>302</v>
      </c>
      <c r="J13" t="s">
        <v>303</v>
      </c>
      <c r="K13" t="s">
        <v>304</v>
      </c>
      <c r="L13">
        <v>45811227</v>
      </c>
      <c r="N13">
        <v>1013</v>
      </c>
      <c r="O13" t="s">
        <v>290</v>
      </c>
      <c r="P13" t="s">
        <v>290</v>
      </c>
      <c r="Q13">
        <v>1</v>
      </c>
      <c r="X13">
        <v>0.19</v>
      </c>
      <c r="Y13">
        <v>0</v>
      </c>
      <c r="Z13">
        <v>86.55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11</v>
      </c>
      <c r="AG13">
        <v>0.23749999999999999</v>
      </c>
      <c r="AH13">
        <v>2</v>
      </c>
      <c r="AI13">
        <v>52156957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52156969</v>
      </c>
      <c r="C14">
        <v>52156953</v>
      </c>
      <c r="D14">
        <v>45814729</v>
      </c>
      <c r="E14">
        <v>1</v>
      </c>
      <c r="F14">
        <v>1</v>
      </c>
      <c r="G14">
        <v>1</v>
      </c>
      <c r="H14">
        <v>3</v>
      </c>
      <c r="I14" t="s">
        <v>305</v>
      </c>
      <c r="J14" t="s">
        <v>306</v>
      </c>
      <c r="K14" t="s">
        <v>307</v>
      </c>
      <c r="L14">
        <v>1348</v>
      </c>
      <c r="N14">
        <v>1009</v>
      </c>
      <c r="O14" t="s">
        <v>105</v>
      </c>
      <c r="P14" t="s">
        <v>105</v>
      </c>
      <c r="Q14">
        <v>1000</v>
      </c>
      <c r="X14">
        <v>4.0000000000000002E-4</v>
      </c>
      <c r="Y14">
        <v>16544.72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4.0000000000000002E-4</v>
      </c>
      <c r="AH14">
        <v>2</v>
      </c>
      <c r="AI14">
        <v>52156958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52156970</v>
      </c>
      <c r="C15">
        <v>52156953</v>
      </c>
      <c r="D15">
        <v>45815427</v>
      </c>
      <c r="E15">
        <v>1</v>
      </c>
      <c r="F15">
        <v>1</v>
      </c>
      <c r="G15">
        <v>1</v>
      </c>
      <c r="H15">
        <v>3</v>
      </c>
      <c r="I15" t="s">
        <v>308</v>
      </c>
      <c r="J15" t="s">
        <v>309</v>
      </c>
      <c r="K15" t="s">
        <v>310</v>
      </c>
      <c r="L15">
        <v>1348</v>
      </c>
      <c r="N15">
        <v>1009</v>
      </c>
      <c r="O15" t="s">
        <v>105</v>
      </c>
      <c r="P15" t="s">
        <v>105</v>
      </c>
      <c r="Q15">
        <v>1000</v>
      </c>
      <c r="X15">
        <v>3.0000000000000001E-5</v>
      </c>
      <c r="Y15">
        <v>9220.7199999999993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3.0000000000000001E-5</v>
      </c>
      <c r="AH15">
        <v>2</v>
      </c>
      <c r="AI15">
        <v>52156959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52156971</v>
      </c>
      <c r="C16">
        <v>52156953</v>
      </c>
      <c r="D16">
        <v>45816303</v>
      </c>
      <c r="E16">
        <v>1</v>
      </c>
      <c r="F16">
        <v>1</v>
      </c>
      <c r="G16">
        <v>1</v>
      </c>
      <c r="H16">
        <v>3</v>
      </c>
      <c r="I16" t="s">
        <v>381</v>
      </c>
      <c r="J16" t="s">
        <v>382</v>
      </c>
      <c r="K16" t="s">
        <v>359</v>
      </c>
      <c r="L16">
        <v>1348</v>
      </c>
      <c r="N16">
        <v>1009</v>
      </c>
      <c r="O16" t="s">
        <v>105</v>
      </c>
      <c r="P16" t="s">
        <v>105</v>
      </c>
      <c r="Q16">
        <v>1000</v>
      </c>
      <c r="X16">
        <v>0</v>
      </c>
      <c r="Y16">
        <v>9189.35</v>
      </c>
      <c r="Z16">
        <v>0</v>
      </c>
      <c r="AA16">
        <v>0</v>
      </c>
      <c r="AB16">
        <v>0</v>
      </c>
      <c r="AC16">
        <v>1</v>
      </c>
      <c r="AD16">
        <v>0</v>
      </c>
      <c r="AE16">
        <v>0</v>
      </c>
      <c r="AF16" t="s">
        <v>3</v>
      </c>
      <c r="AG16">
        <v>0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52156972</v>
      </c>
      <c r="C17">
        <v>52156953</v>
      </c>
      <c r="D17">
        <v>45816364</v>
      </c>
      <c r="E17">
        <v>1</v>
      </c>
      <c r="F17">
        <v>1</v>
      </c>
      <c r="G17">
        <v>1</v>
      </c>
      <c r="H17">
        <v>3</v>
      </c>
      <c r="I17" t="s">
        <v>311</v>
      </c>
      <c r="J17" t="s">
        <v>312</v>
      </c>
      <c r="K17" t="s">
        <v>313</v>
      </c>
      <c r="L17">
        <v>1346</v>
      </c>
      <c r="N17">
        <v>1009</v>
      </c>
      <c r="O17" t="s">
        <v>314</v>
      </c>
      <c r="P17" t="s">
        <v>314</v>
      </c>
      <c r="Q17">
        <v>1</v>
      </c>
      <c r="X17">
        <v>0.02</v>
      </c>
      <c r="Y17">
        <v>1.69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0.02</v>
      </c>
      <c r="AH17">
        <v>2</v>
      </c>
      <c r="AI17">
        <v>52156960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52156973</v>
      </c>
      <c r="C18">
        <v>52156953</v>
      </c>
      <c r="D18">
        <v>45817071</v>
      </c>
      <c r="E18">
        <v>1</v>
      </c>
      <c r="F18">
        <v>1</v>
      </c>
      <c r="G18">
        <v>1</v>
      </c>
      <c r="H18">
        <v>3</v>
      </c>
      <c r="I18" t="s">
        <v>315</v>
      </c>
      <c r="J18" t="s">
        <v>316</v>
      </c>
      <c r="K18" t="s">
        <v>317</v>
      </c>
      <c r="L18">
        <v>1346</v>
      </c>
      <c r="N18">
        <v>1009</v>
      </c>
      <c r="O18" t="s">
        <v>314</v>
      </c>
      <c r="P18" t="s">
        <v>314</v>
      </c>
      <c r="Q18">
        <v>1</v>
      </c>
      <c r="X18">
        <v>0.1</v>
      </c>
      <c r="Y18">
        <v>13.33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0.1</v>
      </c>
      <c r="AH18">
        <v>2</v>
      </c>
      <c r="AI18">
        <v>52156961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52156974</v>
      </c>
      <c r="C19">
        <v>52156953</v>
      </c>
      <c r="D19">
        <v>45822979</v>
      </c>
      <c r="E19">
        <v>1</v>
      </c>
      <c r="F19">
        <v>1</v>
      </c>
      <c r="G19">
        <v>1</v>
      </c>
      <c r="H19">
        <v>3</v>
      </c>
      <c r="I19" t="s">
        <v>383</v>
      </c>
      <c r="J19" t="s">
        <v>384</v>
      </c>
      <c r="K19" t="s">
        <v>385</v>
      </c>
      <c r="L19">
        <v>1348</v>
      </c>
      <c r="N19">
        <v>1009</v>
      </c>
      <c r="O19" t="s">
        <v>105</v>
      </c>
      <c r="P19" t="s">
        <v>105</v>
      </c>
      <c r="Q19">
        <v>1000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 t="s">
        <v>3</v>
      </c>
      <c r="AG19">
        <v>0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52156975</v>
      </c>
      <c r="C20">
        <v>52156953</v>
      </c>
      <c r="D20">
        <v>45829708</v>
      </c>
      <c r="E20">
        <v>1</v>
      </c>
      <c r="F20">
        <v>1</v>
      </c>
      <c r="G20">
        <v>1</v>
      </c>
      <c r="H20">
        <v>3</v>
      </c>
      <c r="I20" t="s">
        <v>386</v>
      </c>
      <c r="J20" t="s">
        <v>387</v>
      </c>
      <c r="K20" t="s">
        <v>388</v>
      </c>
      <c r="L20">
        <v>1354</v>
      </c>
      <c r="N20">
        <v>1010</v>
      </c>
      <c r="O20" t="s">
        <v>37</v>
      </c>
      <c r="P20" t="s">
        <v>37</v>
      </c>
      <c r="Q20">
        <v>1</v>
      </c>
      <c r="X20">
        <v>0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 t="s">
        <v>3</v>
      </c>
      <c r="AG20">
        <v>0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52156976</v>
      </c>
      <c r="C21">
        <v>52156953</v>
      </c>
      <c r="D21">
        <v>45829716</v>
      </c>
      <c r="E21">
        <v>1</v>
      </c>
      <c r="F21">
        <v>1</v>
      </c>
      <c r="G21">
        <v>1</v>
      </c>
      <c r="H21">
        <v>3</v>
      </c>
      <c r="I21" t="s">
        <v>389</v>
      </c>
      <c r="J21" t="s">
        <v>390</v>
      </c>
      <c r="K21" t="s">
        <v>391</v>
      </c>
      <c r="L21">
        <v>1354</v>
      </c>
      <c r="N21">
        <v>1010</v>
      </c>
      <c r="O21" t="s">
        <v>37</v>
      </c>
      <c r="P21" t="s">
        <v>37</v>
      </c>
      <c r="Q21">
        <v>1</v>
      </c>
      <c r="X21">
        <v>0</v>
      </c>
      <c r="Y21">
        <v>0</v>
      </c>
      <c r="Z21">
        <v>0</v>
      </c>
      <c r="AA21">
        <v>0</v>
      </c>
      <c r="AB21">
        <v>0</v>
      </c>
      <c r="AC21">
        <v>1</v>
      </c>
      <c r="AD21">
        <v>0</v>
      </c>
      <c r="AE21">
        <v>0</v>
      </c>
      <c r="AF21" t="s">
        <v>3</v>
      </c>
      <c r="AG21">
        <v>0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52156977</v>
      </c>
      <c r="C22">
        <v>52156953</v>
      </c>
      <c r="D22">
        <v>45829720</v>
      </c>
      <c r="E22">
        <v>1</v>
      </c>
      <c r="F22">
        <v>1</v>
      </c>
      <c r="G22">
        <v>1</v>
      </c>
      <c r="H22">
        <v>3</v>
      </c>
      <c r="I22" t="s">
        <v>392</v>
      </c>
      <c r="J22" t="s">
        <v>393</v>
      </c>
      <c r="K22" t="s">
        <v>394</v>
      </c>
      <c r="L22">
        <v>1354</v>
      </c>
      <c r="N22">
        <v>1010</v>
      </c>
      <c r="O22" t="s">
        <v>37</v>
      </c>
      <c r="P22" t="s">
        <v>37</v>
      </c>
      <c r="Q22">
        <v>1</v>
      </c>
      <c r="X22">
        <v>0.1</v>
      </c>
      <c r="Y22">
        <v>0</v>
      </c>
      <c r="Z22">
        <v>0</v>
      </c>
      <c r="AA22">
        <v>0</v>
      </c>
      <c r="AB22">
        <v>0</v>
      </c>
      <c r="AC22">
        <v>1</v>
      </c>
      <c r="AD22">
        <v>0</v>
      </c>
      <c r="AE22">
        <v>0</v>
      </c>
      <c r="AF22" t="s">
        <v>3</v>
      </c>
      <c r="AG22">
        <v>0.1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ROW(Source!A34)</f>
        <v>34</v>
      </c>
      <c r="B23">
        <v>52156978</v>
      </c>
      <c r="C23">
        <v>52156953</v>
      </c>
      <c r="D23">
        <v>45830136</v>
      </c>
      <c r="E23">
        <v>1</v>
      </c>
      <c r="F23">
        <v>1</v>
      </c>
      <c r="G23">
        <v>1</v>
      </c>
      <c r="H23">
        <v>3</v>
      </c>
      <c r="I23" t="s">
        <v>318</v>
      </c>
      <c r="J23" t="s">
        <v>319</v>
      </c>
      <c r="K23" t="s">
        <v>320</v>
      </c>
      <c r="L23">
        <v>1348</v>
      </c>
      <c r="N23">
        <v>1009</v>
      </c>
      <c r="O23" t="s">
        <v>105</v>
      </c>
      <c r="P23" t="s">
        <v>105</v>
      </c>
      <c r="Q23">
        <v>1000</v>
      </c>
      <c r="X23">
        <v>1E-4</v>
      </c>
      <c r="Y23">
        <v>9368.7199999999993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1E-4</v>
      </c>
      <c r="AH23">
        <v>2</v>
      </c>
      <c r="AI23">
        <v>52156962</v>
      </c>
      <c r="AJ23">
        <v>18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ROW(Source!A34)</f>
        <v>34</v>
      </c>
      <c r="B24">
        <v>52156979</v>
      </c>
      <c r="C24">
        <v>52156953</v>
      </c>
      <c r="D24">
        <v>45837956</v>
      </c>
      <c r="E24">
        <v>1</v>
      </c>
      <c r="F24">
        <v>1</v>
      </c>
      <c r="G24">
        <v>1</v>
      </c>
      <c r="H24">
        <v>3</v>
      </c>
      <c r="I24" t="s">
        <v>395</v>
      </c>
      <c r="J24" t="s">
        <v>396</v>
      </c>
      <c r="K24" t="s">
        <v>397</v>
      </c>
      <c r="L24">
        <v>1346</v>
      </c>
      <c r="N24">
        <v>1009</v>
      </c>
      <c r="O24" t="s">
        <v>314</v>
      </c>
      <c r="P24" t="s">
        <v>314</v>
      </c>
      <c r="Q24">
        <v>1</v>
      </c>
      <c r="X24">
        <v>0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0</v>
      </c>
      <c r="AF24" t="s">
        <v>3</v>
      </c>
      <c r="AG24">
        <v>0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ROW(Source!A34)</f>
        <v>34</v>
      </c>
      <c r="B25">
        <v>52156980</v>
      </c>
      <c r="C25">
        <v>52156953</v>
      </c>
      <c r="D25">
        <v>45837957</v>
      </c>
      <c r="E25">
        <v>1</v>
      </c>
      <c r="F25">
        <v>1</v>
      </c>
      <c r="G25">
        <v>1</v>
      </c>
      <c r="H25">
        <v>3</v>
      </c>
      <c r="I25" t="s">
        <v>398</v>
      </c>
      <c r="J25" t="s">
        <v>399</v>
      </c>
      <c r="K25" t="s">
        <v>400</v>
      </c>
      <c r="L25">
        <v>1348</v>
      </c>
      <c r="N25">
        <v>1009</v>
      </c>
      <c r="O25" t="s">
        <v>105</v>
      </c>
      <c r="P25" t="s">
        <v>105</v>
      </c>
      <c r="Q25">
        <v>1000</v>
      </c>
      <c r="X25">
        <v>0</v>
      </c>
      <c r="Y25">
        <v>0</v>
      </c>
      <c r="Z25">
        <v>0</v>
      </c>
      <c r="AA25">
        <v>0</v>
      </c>
      <c r="AB25">
        <v>0</v>
      </c>
      <c r="AC25">
        <v>1</v>
      </c>
      <c r="AD25">
        <v>0</v>
      </c>
      <c r="AE25">
        <v>0</v>
      </c>
      <c r="AF25" t="s">
        <v>3</v>
      </c>
      <c r="AG25">
        <v>0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ROW(Source!A34)</f>
        <v>34</v>
      </c>
      <c r="B26">
        <v>52156981</v>
      </c>
      <c r="C26">
        <v>52156953</v>
      </c>
      <c r="D26">
        <v>45855828</v>
      </c>
      <c r="E26">
        <v>1</v>
      </c>
      <c r="F26">
        <v>1</v>
      </c>
      <c r="G26">
        <v>1</v>
      </c>
      <c r="H26">
        <v>3</v>
      </c>
      <c r="I26" t="s">
        <v>401</v>
      </c>
      <c r="J26" t="s">
        <v>402</v>
      </c>
      <c r="K26" t="s">
        <v>403</v>
      </c>
      <c r="L26">
        <v>1354</v>
      </c>
      <c r="N26">
        <v>1010</v>
      </c>
      <c r="O26" t="s">
        <v>37</v>
      </c>
      <c r="P26" t="s">
        <v>37</v>
      </c>
      <c r="Q26">
        <v>1</v>
      </c>
      <c r="X26">
        <v>0</v>
      </c>
      <c r="Y26">
        <v>3110.19</v>
      </c>
      <c r="Z26">
        <v>0</v>
      </c>
      <c r="AA26">
        <v>0</v>
      </c>
      <c r="AB26">
        <v>0</v>
      </c>
      <c r="AC26">
        <v>1</v>
      </c>
      <c r="AD26">
        <v>0</v>
      </c>
      <c r="AE26">
        <v>0</v>
      </c>
      <c r="AF26" t="s">
        <v>3</v>
      </c>
      <c r="AG26">
        <v>0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ROW(Source!A34)</f>
        <v>34</v>
      </c>
      <c r="B27">
        <v>52156982</v>
      </c>
      <c r="C27">
        <v>52156953</v>
      </c>
      <c r="D27">
        <v>45880198</v>
      </c>
      <c r="E27">
        <v>1</v>
      </c>
      <c r="F27">
        <v>1</v>
      </c>
      <c r="G27">
        <v>1</v>
      </c>
      <c r="H27">
        <v>3</v>
      </c>
      <c r="I27" t="s">
        <v>321</v>
      </c>
      <c r="J27" t="s">
        <v>322</v>
      </c>
      <c r="K27" t="s">
        <v>323</v>
      </c>
      <c r="L27">
        <v>1354</v>
      </c>
      <c r="N27">
        <v>1010</v>
      </c>
      <c r="O27" t="s">
        <v>37</v>
      </c>
      <c r="P27" t="s">
        <v>37</v>
      </c>
      <c r="Q27">
        <v>1</v>
      </c>
      <c r="X27">
        <v>6</v>
      </c>
      <c r="Y27">
        <v>5.65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6</v>
      </c>
      <c r="AH27">
        <v>2</v>
      </c>
      <c r="AI27">
        <v>52156964</v>
      </c>
      <c r="AJ27">
        <v>20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52157007</v>
      </c>
      <c r="C28">
        <v>52156984</v>
      </c>
      <c r="D28">
        <v>45980386</v>
      </c>
      <c r="E28">
        <v>1</v>
      </c>
      <c r="F28">
        <v>1</v>
      </c>
      <c r="G28">
        <v>1</v>
      </c>
      <c r="H28">
        <v>1</v>
      </c>
      <c r="I28" t="s">
        <v>324</v>
      </c>
      <c r="J28" t="s">
        <v>3</v>
      </c>
      <c r="K28" t="s">
        <v>325</v>
      </c>
      <c r="L28">
        <v>1476</v>
      </c>
      <c r="N28">
        <v>1013</v>
      </c>
      <c r="O28" t="s">
        <v>283</v>
      </c>
      <c r="P28" t="s">
        <v>284</v>
      </c>
      <c r="Q28">
        <v>1</v>
      </c>
      <c r="X28">
        <v>65.239999999999995</v>
      </c>
      <c r="Y28">
        <v>0</v>
      </c>
      <c r="Z28">
        <v>0</v>
      </c>
      <c r="AA28">
        <v>0</v>
      </c>
      <c r="AB28">
        <v>7.74</v>
      </c>
      <c r="AC28">
        <v>0</v>
      </c>
      <c r="AD28">
        <v>1</v>
      </c>
      <c r="AE28">
        <v>1</v>
      </c>
      <c r="AF28" t="s">
        <v>12</v>
      </c>
      <c r="AG28">
        <v>75.025999999999982</v>
      </c>
      <c r="AH28">
        <v>2</v>
      </c>
      <c r="AI28">
        <v>52156985</v>
      </c>
      <c r="AJ28">
        <v>21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52157008</v>
      </c>
      <c r="C29">
        <v>52156984</v>
      </c>
      <c r="D29">
        <v>121548</v>
      </c>
      <c r="E29">
        <v>1</v>
      </c>
      <c r="F29">
        <v>1</v>
      </c>
      <c r="G29">
        <v>1</v>
      </c>
      <c r="H29">
        <v>1</v>
      </c>
      <c r="I29" t="s">
        <v>26</v>
      </c>
      <c r="J29" t="s">
        <v>3</v>
      </c>
      <c r="K29" t="s">
        <v>285</v>
      </c>
      <c r="L29">
        <v>608254</v>
      </c>
      <c r="N29">
        <v>1013</v>
      </c>
      <c r="O29" t="s">
        <v>286</v>
      </c>
      <c r="P29" t="s">
        <v>286</v>
      </c>
      <c r="Q29">
        <v>1</v>
      </c>
      <c r="X29">
        <v>37.18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2</v>
      </c>
      <c r="AF29" t="s">
        <v>11</v>
      </c>
      <c r="AG29">
        <v>46.475000000000001</v>
      </c>
      <c r="AH29">
        <v>2</v>
      </c>
      <c r="AI29">
        <v>52156986</v>
      </c>
      <c r="AJ29">
        <v>22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52157009</v>
      </c>
      <c r="C30">
        <v>52156984</v>
      </c>
      <c r="D30">
        <v>45811353</v>
      </c>
      <c r="E30">
        <v>1</v>
      </c>
      <c r="F30">
        <v>1</v>
      </c>
      <c r="G30">
        <v>1</v>
      </c>
      <c r="H30">
        <v>2</v>
      </c>
      <c r="I30" t="s">
        <v>294</v>
      </c>
      <c r="J30" t="s">
        <v>295</v>
      </c>
      <c r="K30" t="s">
        <v>296</v>
      </c>
      <c r="L30">
        <v>45811227</v>
      </c>
      <c r="N30">
        <v>1013</v>
      </c>
      <c r="O30" t="s">
        <v>290</v>
      </c>
      <c r="P30" t="s">
        <v>290</v>
      </c>
      <c r="Q30">
        <v>1</v>
      </c>
      <c r="X30">
        <v>0.82</v>
      </c>
      <c r="Y30">
        <v>0</v>
      </c>
      <c r="Z30">
        <v>111.75</v>
      </c>
      <c r="AA30">
        <v>13.26</v>
      </c>
      <c r="AB30">
        <v>0</v>
      </c>
      <c r="AC30">
        <v>0</v>
      </c>
      <c r="AD30">
        <v>1</v>
      </c>
      <c r="AE30">
        <v>0</v>
      </c>
      <c r="AF30" t="s">
        <v>11</v>
      </c>
      <c r="AG30">
        <v>1.0249999999999999</v>
      </c>
      <c r="AH30">
        <v>2</v>
      </c>
      <c r="AI30">
        <v>52156987</v>
      </c>
      <c r="AJ30">
        <v>23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ROW(Source!A36)</f>
        <v>36</v>
      </c>
      <c r="B31">
        <v>52157010</v>
      </c>
      <c r="C31">
        <v>52156984</v>
      </c>
      <c r="D31">
        <v>45811438</v>
      </c>
      <c r="E31">
        <v>1</v>
      </c>
      <c r="F31">
        <v>1</v>
      </c>
      <c r="G31">
        <v>1</v>
      </c>
      <c r="H31">
        <v>2</v>
      </c>
      <c r="I31" t="s">
        <v>326</v>
      </c>
      <c r="J31" t="s">
        <v>327</v>
      </c>
      <c r="K31" t="s">
        <v>328</v>
      </c>
      <c r="L31">
        <v>45811227</v>
      </c>
      <c r="N31">
        <v>1013</v>
      </c>
      <c r="O31" t="s">
        <v>290</v>
      </c>
      <c r="P31" t="s">
        <v>290</v>
      </c>
      <c r="Q31">
        <v>1</v>
      </c>
      <c r="X31">
        <v>9.76</v>
      </c>
      <c r="Y31">
        <v>0</v>
      </c>
      <c r="Z31">
        <v>1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11</v>
      </c>
      <c r="AG31">
        <v>12.2</v>
      </c>
      <c r="AH31">
        <v>2</v>
      </c>
      <c r="AI31">
        <v>52156988</v>
      </c>
      <c r="AJ31">
        <v>24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ROW(Source!A36)</f>
        <v>36</v>
      </c>
      <c r="B32">
        <v>52157011</v>
      </c>
      <c r="C32">
        <v>52156984</v>
      </c>
      <c r="D32">
        <v>45811456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45811227</v>
      </c>
      <c r="N32">
        <v>1013</v>
      </c>
      <c r="O32" t="s">
        <v>290</v>
      </c>
      <c r="P32" t="s">
        <v>290</v>
      </c>
      <c r="Q32">
        <v>1</v>
      </c>
      <c r="X32">
        <v>11.95</v>
      </c>
      <c r="Y32">
        <v>0</v>
      </c>
      <c r="Z32">
        <v>80.52</v>
      </c>
      <c r="AA32">
        <v>11.38</v>
      </c>
      <c r="AB32">
        <v>0</v>
      </c>
      <c r="AC32">
        <v>0</v>
      </c>
      <c r="AD32">
        <v>1</v>
      </c>
      <c r="AE32">
        <v>0</v>
      </c>
      <c r="AF32" t="s">
        <v>11</v>
      </c>
      <c r="AG32">
        <v>14.9375</v>
      </c>
      <c r="AH32">
        <v>2</v>
      </c>
      <c r="AI32">
        <v>52156989</v>
      </c>
      <c r="AJ32">
        <v>25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ROW(Source!A36)</f>
        <v>36</v>
      </c>
      <c r="B33">
        <v>52157012</v>
      </c>
      <c r="C33">
        <v>52156984</v>
      </c>
      <c r="D33">
        <v>45811486</v>
      </c>
      <c r="E33">
        <v>1</v>
      </c>
      <c r="F33">
        <v>1</v>
      </c>
      <c r="G33">
        <v>1</v>
      </c>
      <c r="H33">
        <v>2</v>
      </c>
      <c r="I33" t="s">
        <v>332</v>
      </c>
      <c r="J33" t="s">
        <v>333</v>
      </c>
      <c r="K33" t="s">
        <v>334</v>
      </c>
      <c r="L33">
        <v>45811227</v>
      </c>
      <c r="N33">
        <v>1013</v>
      </c>
      <c r="O33" t="s">
        <v>290</v>
      </c>
      <c r="P33" t="s">
        <v>290</v>
      </c>
      <c r="Q33">
        <v>1</v>
      </c>
      <c r="X33">
        <v>24.41</v>
      </c>
      <c r="Y33">
        <v>0</v>
      </c>
      <c r="Z33">
        <v>83.54</v>
      </c>
      <c r="AA33">
        <v>9.8800000000000008</v>
      </c>
      <c r="AB33">
        <v>0</v>
      </c>
      <c r="AC33">
        <v>0</v>
      </c>
      <c r="AD33">
        <v>1</v>
      </c>
      <c r="AE33">
        <v>0</v>
      </c>
      <c r="AF33" t="s">
        <v>11</v>
      </c>
      <c r="AG33">
        <v>30.512499999999999</v>
      </c>
      <c r="AH33">
        <v>2</v>
      </c>
      <c r="AI33">
        <v>52156990</v>
      </c>
      <c r="AJ33">
        <v>26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52157013</v>
      </c>
      <c r="C34">
        <v>52156984</v>
      </c>
      <c r="D34">
        <v>45813321</v>
      </c>
      <c r="E34">
        <v>1</v>
      </c>
      <c r="F34">
        <v>1</v>
      </c>
      <c r="G34">
        <v>1</v>
      </c>
      <c r="H34">
        <v>2</v>
      </c>
      <c r="I34" t="s">
        <v>302</v>
      </c>
      <c r="J34" t="s">
        <v>303</v>
      </c>
      <c r="K34" t="s">
        <v>304</v>
      </c>
      <c r="L34">
        <v>45811227</v>
      </c>
      <c r="N34">
        <v>1013</v>
      </c>
      <c r="O34" t="s">
        <v>290</v>
      </c>
      <c r="P34" t="s">
        <v>290</v>
      </c>
      <c r="Q34">
        <v>1</v>
      </c>
      <c r="X34">
        <v>0.33</v>
      </c>
      <c r="Y34">
        <v>0</v>
      </c>
      <c r="Z34">
        <v>86.55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11</v>
      </c>
      <c r="AG34">
        <v>0.41250000000000003</v>
      </c>
      <c r="AH34">
        <v>2</v>
      </c>
      <c r="AI34">
        <v>52156991</v>
      </c>
      <c r="AJ34">
        <v>27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ROW(Source!A36)</f>
        <v>36</v>
      </c>
      <c r="B35">
        <v>52157014</v>
      </c>
      <c r="C35">
        <v>52156984</v>
      </c>
      <c r="D35">
        <v>45829969</v>
      </c>
      <c r="E35">
        <v>1</v>
      </c>
      <c r="F35">
        <v>1</v>
      </c>
      <c r="G35">
        <v>1</v>
      </c>
      <c r="H35">
        <v>3</v>
      </c>
      <c r="I35" t="s">
        <v>404</v>
      </c>
      <c r="J35" t="s">
        <v>405</v>
      </c>
      <c r="K35" t="s">
        <v>406</v>
      </c>
      <c r="L35">
        <v>1354</v>
      </c>
      <c r="N35">
        <v>1010</v>
      </c>
      <c r="O35" t="s">
        <v>37</v>
      </c>
      <c r="P35" t="s">
        <v>37</v>
      </c>
      <c r="Q35">
        <v>1</v>
      </c>
      <c r="X35">
        <v>0</v>
      </c>
      <c r="Y35">
        <v>106.51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 t="s">
        <v>3</v>
      </c>
      <c r="AG35">
        <v>0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ROW(Source!A36)</f>
        <v>36</v>
      </c>
      <c r="B36">
        <v>52157015</v>
      </c>
      <c r="C36">
        <v>52156984</v>
      </c>
      <c r="D36">
        <v>45829970</v>
      </c>
      <c r="E36">
        <v>1</v>
      </c>
      <c r="F36">
        <v>1</v>
      </c>
      <c r="G36">
        <v>1</v>
      </c>
      <c r="H36">
        <v>3</v>
      </c>
      <c r="I36" t="s">
        <v>89</v>
      </c>
      <c r="J36" t="s">
        <v>92</v>
      </c>
      <c r="K36" t="s">
        <v>90</v>
      </c>
      <c r="L36">
        <v>1035</v>
      </c>
      <c r="N36">
        <v>1013</v>
      </c>
      <c r="O36" t="s">
        <v>91</v>
      </c>
      <c r="P36" t="s">
        <v>91</v>
      </c>
      <c r="Q36">
        <v>1</v>
      </c>
      <c r="X36">
        <v>2</v>
      </c>
      <c r="Y36">
        <v>226.87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2</v>
      </c>
      <c r="AH36">
        <v>2</v>
      </c>
      <c r="AI36">
        <v>52156992</v>
      </c>
      <c r="AJ36">
        <v>30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ROW(Source!A36)</f>
        <v>36</v>
      </c>
      <c r="B37">
        <v>52157016</v>
      </c>
      <c r="C37">
        <v>52156984</v>
      </c>
      <c r="D37">
        <v>45829972</v>
      </c>
      <c r="E37">
        <v>1</v>
      </c>
      <c r="F37">
        <v>1</v>
      </c>
      <c r="G37">
        <v>1</v>
      </c>
      <c r="H37">
        <v>3</v>
      </c>
      <c r="I37" t="s">
        <v>94</v>
      </c>
      <c r="J37" t="s">
        <v>96</v>
      </c>
      <c r="K37" t="s">
        <v>95</v>
      </c>
      <c r="L37">
        <v>1035</v>
      </c>
      <c r="N37">
        <v>1013</v>
      </c>
      <c r="O37" t="s">
        <v>91</v>
      </c>
      <c r="P37" t="s">
        <v>91</v>
      </c>
      <c r="Q37">
        <v>1</v>
      </c>
      <c r="X37">
        <v>29</v>
      </c>
      <c r="Y37">
        <v>155.47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29</v>
      </c>
      <c r="AH37">
        <v>2</v>
      </c>
      <c r="AI37">
        <v>52156993</v>
      </c>
      <c r="AJ37">
        <v>31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ROW(Source!A36)</f>
        <v>36</v>
      </c>
      <c r="B38">
        <v>52157017</v>
      </c>
      <c r="C38">
        <v>52156984</v>
      </c>
      <c r="D38">
        <v>45829973</v>
      </c>
      <c r="E38">
        <v>1</v>
      </c>
      <c r="F38">
        <v>1</v>
      </c>
      <c r="G38">
        <v>1</v>
      </c>
      <c r="H38">
        <v>3</v>
      </c>
      <c r="I38" t="s">
        <v>64</v>
      </c>
      <c r="J38" t="s">
        <v>48</v>
      </c>
      <c r="K38" t="s">
        <v>65</v>
      </c>
      <c r="L38">
        <v>1354</v>
      </c>
      <c r="N38">
        <v>1010</v>
      </c>
      <c r="O38" t="s">
        <v>37</v>
      </c>
      <c r="P38" t="s">
        <v>37</v>
      </c>
      <c r="Q38">
        <v>1</v>
      </c>
      <c r="X38">
        <v>0</v>
      </c>
      <c r="Y38">
        <v>2.06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52157001</v>
      </c>
      <c r="AJ38">
        <v>32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ROW(Source!A36)</f>
        <v>36</v>
      </c>
      <c r="B39">
        <v>52157018</v>
      </c>
      <c r="C39">
        <v>52156984</v>
      </c>
      <c r="D39">
        <v>45829974</v>
      </c>
      <c r="E39">
        <v>1</v>
      </c>
      <c r="F39">
        <v>1</v>
      </c>
      <c r="G39">
        <v>1</v>
      </c>
      <c r="H39">
        <v>3</v>
      </c>
      <c r="I39" t="s">
        <v>335</v>
      </c>
      <c r="J39" t="s">
        <v>336</v>
      </c>
      <c r="K39" t="s">
        <v>337</v>
      </c>
      <c r="L39">
        <v>1354</v>
      </c>
      <c r="N39">
        <v>1010</v>
      </c>
      <c r="O39" t="s">
        <v>37</v>
      </c>
      <c r="P39" t="s">
        <v>37</v>
      </c>
      <c r="Q39">
        <v>1</v>
      </c>
      <c r="X39">
        <v>1.8</v>
      </c>
      <c r="Y39">
        <v>920.66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1.8</v>
      </c>
      <c r="AH39">
        <v>2</v>
      </c>
      <c r="AI39">
        <v>52156994</v>
      </c>
      <c r="AJ39">
        <v>33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52157019</v>
      </c>
      <c r="C40">
        <v>52156984</v>
      </c>
      <c r="D40">
        <v>45829975</v>
      </c>
      <c r="E40">
        <v>1</v>
      </c>
      <c r="F40">
        <v>1</v>
      </c>
      <c r="G40">
        <v>1</v>
      </c>
      <c r="H40">
        <v>3</v>
      </c>
      <c r="I40" t="s">
        <v>338</v>
      </c>
      <c r="J40" t="s">
        <v>339</v>
      </c>
      <c r="K40" t="s">
        <v>340</v>
      </c>
      <c r="L40">
        <v>1354</v>
      </c>
      <c r="N40">
        <v>1010</v>
      </c>
      <c r="O40" t="s">
        <v>37</v>
      </c>
      <c r="P40" t="s">
        <v>37</v>
      </c>
      <c r="Q40">
        <v>1</v>
      </c>
      <c r="X40">
        <v>62</v>
      </c>
      <c r="Y40">
        <v>5.48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62</v>
      </c>
      <c r="AH40">
        <v>2</v>
      </c>
      <c r="AI40">
        <v>52156995</v>
      </c>
      <c r="AJ40">
        <v>34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ROW(Source!A36)</f>
        <v>36</v>
      </c>
      <c r="B41">
        <v>52157020</v>
      </c>
      <c r="C41">
        <v>52156984</v>
      </c>
      <c r="D41">
        <v>45871587</v>
      </c>
      <c r="E41">
        <v>1</v>
      </c>
      <c r="F41">
        <v>1</v>
      </c>
      <c r="G41">
        <v>1</v>
      </c>
      <c r="H41">
        <v>3</v>
      </c>
      <c r="I41" t="s">
        <v>407</v>
      </c>
      <c r="J41" t="s">
        <v>408</v>
      </c>
      <c r="K41" t="s">
        <v>409</v>
      </c>
      <c r="L41">
        <v>1477</v>
      </c>
      <c r="N41">
        <v>1013</v>
      </c>
      <c r="O41" t="s">
        <v>42</v>
      </c>
      <c r="P41" t="s">
        <v>44</v>
      </c>
      <c r="Q41">
        <v>1</v>
      </c>
      <c r="X41">
        <v>1.02</v>
      </c>
      <c r="Y41">
        <v>0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 t="s">
        <v>3</v>
      </c>
      <c r="AG41">
        <v>1.02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ROW(Source!A36)</f>
        <v>36</v>
      </c>
      <c r="B42">
        <v>52157021</v>
      </c>
      <c r="C42">
        <v>52156984</v>
      </c>
      <c r="D42">
        <v>45882611</v>
      </c>
      <c r="E42">
        <v>1</v>
      </c>
      <c r="F42">
        <v>1</v>
      </c>
      <c r="G42">
        <v>1</v>
      </c>
      <c r="H42">
        <v>3</v>
      </c>
      <c r="I42" t="s">
        <v>410</v>
      </c>
      <c r="J42" t="s">
        <v>411</v>
      </c>
      <c r="K42" t="s">
        <v>412</v>
      </c>
      <c r="L42">
        <v>1354</v>
      </c>
      <c r="N42">
        <v>1010</v>
      </c>
      <c r="O42" t="s">
        <v>37</v>
      </c>
      <c r="P42" t="s">
        <v>37</v>
      </c>
      <c r="Q42">
        <v>1</v>
      </c>
      <c r="X42">
        <v>0</v>
      </c>
      <c r="Y42">
        <v>19.149999999999999</v>
      </c>
      <c r="Z42">
        <v>0</v>
      </c>
      <c r="AA42">
        <v>0</v>
      </c>
      <c r="AB42">
        <v>0</v>
      </c>
      <c r="AC42">
        <v>1</v>
      </c>
      <c r="AD42">
        <v>0</v>
      </c>
      <c r="AE42">
        <v>0</v>
      </c>
      <c r="AF42" t="s">
        <v>3</v>
      </c>
      <c r="AG42">
        <v>0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ROW(Source!A48)</f>
        <v>48</v>
      </c>
      <c r="B43">
        <v>52157042</v>
      </c>
      <c r="C43">
        <v>52157034</v>
      </c>
      <c r="D43">
        <v>45976914</v>
      </c>
      <c r="E43">
        <v>1</v>
      </c>
      <c r="F43">
        <v>1</v>
      </c>
      <c r="G43">
        <v>1</v>
      </c>
      <c r="H43">
        <v>1</v>
      </c>
      <c r="I43" t="s">
        <v>341</v>
      </c>
      <c r="J43" t="s">
        <v>3</v>
      </c>
      <c r="K43" t="s">
        <v>342</v>
      </c>
      <c r="L43">
        <v>1476</v>
      </c>
      <c r="N43">
        <v>1013</v>
      </c>
      <c r="O43" t="s">
        <v>283</v>
      </c>
      <c r="P43" t="s">
        <v>284</v>
      </c>
      <c r="Q43">
        <v>1</v>
      </c>
      <c r="X43">
        <v>1.8</v>
      </c>
      <c r="Y43">
        <v>0</v>
      </c>
      <c r="Z43">
        <v>0</v>
      </c>
      <c r="AA43">
        <v>0</v>
      </c>
      <c r="AB43">
        <v>6.88</v>
      </c>
      <c r="AC43">
        <v>0</v>
      </c>
      <c r="AD43">
        <v>1</v>
      </c>
      <c r="AE43">
        <v>1</v>
      </c>
      <c r="AF43" t="s">
        <v>12</v>
      </c>
      <c r="AG43">
        <v>2.0699999999999998</v>
      </c>
      <c r="AH43">
        <v>2</v>
      </c>
      <c r="AI43">
        <v>52157035</v>
      </c>
      <c r="AJ43">
        <v>41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ROW(Source!A48)</f>
        <v>48</v>
      </c>
      <c r="B44">
        <v>52157043</v>
      </c>
      <c r="C44">
        <v>52157034</v>
      </c>
      <c r="D44">
        <v>45811549</v>
      </c>
      <c r="E44">
        <v>1</v>
      </c>
      <c r="F44">
        <v>1</v>
      </c>
      <c r="G44">
        <v>1</v>
      </c>
      <c r="H44">
        <v>2</v>
      </c>
      <c r="I44" t="s">
        <v>343</v>
      </c>
      <c r="J44" t="s">
        <v>344</v>
      </c>
      <c r="K44" t="s">
        <v>345</v>
      </c>
      <c r="L44">
        <v>45811227</v>
      </c>
      <c r="N44">
        <v>1013</v>
      </c>
      <c r="O44" t="s">
        <v>290</v>
      </c>
      <c r="P44" t="s">
        <v>290</v>
      </c>
      <c r="Q44">
        <v>1</v>
      </c>
      <c r="X44">
        <v>0.5</v>
      </c>
      <c r="Y44">
        <v>0</v>
      </c>
      <c r="Z44">
        <v>14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11</v>
      </c>
      <c r="AG44">
        <v>0.625</v>
      </c>
      <c r="AH44">
        <v>2</v>
      </c>
      <c r="AI44">
        <v>52157036</v>
      </c>
      <c r="AJ44">
        <v>42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ROW(Source!A48)</f>
        <v>48</v>
      </c>
      <c r="B45">
        <v>52157044</v>
      </c>
      <c r="C45">
        <v>52157034</v>
      </c>
      <c r="D45">
        <v>45813321</v>
      </c>
      <c r="E45">
        <v>1</v>
      </c>
      <c r="F45">
        <v>1</v>
      </c>
      <c r="G45">
        <v>1</v>
      </c>
      <c r="H45">
        <v>2</v>
      </c>
      <c r="I45" t="s">
        <v>302</v>
      </c>
      <c r="J45" t="s">
        <v>303</v>
      </c>
      <c r="K45" t="s">
        <v>304</v>
      </c>
      <c r="L45">
        <v>45811227</v>
      </c>
      <c r="N45">
        <v>1013</v>
      </c>
      <c r="O45" t="s">
        <v>290</v>
      </c>
      <c r="P45" t="s">
        <v>290</v>
      </c>
      <c r="Q45">
        <v>1</v>
      </c>
      <c r="X45">
        <v>0.1</v>
      </c>
      <c r="Y45">
        <v>0</v>
      </c>
      <c r="Z45">
        <v>86.55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11</v>
      </c>
      <c r="AG45">
        <v>0.125</v>
      </c>
      <c r="AH45">
        <v>2</v>
      </c>
      <c r="AI45">
        <v>52157037</v>
      </c>
      <c r="AJ45">
        <v>43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ROW(Source!A48)</f>
        <v>48</v>
      </c>
      <c r="B46">
        <v>52157045</v>
      </c>
      <c r="C46">
        <v>52157034</v>
      </c>
      <c r="D46">
        <v>45816006</v>
      </c>
      <c r="E46">
        <v>1</v>
      </c>
      <c r="F46">
        <v>1</v>
      </c>
      <c r="G46">
        <v>1</v>
      </c>
      <c r="H46">
        <v>3</v>
      </c>
      <c r="I46" t="s">
        <v>346</v>
      </c>
      <c r="J46" t="s">
        <v>347</v>
      </c>
      <c r="K46" t="s">
        <v>348</v>
      </c>
      <c r="L46">
        <v>1348</v>
      </c>
      <c r="N46">
        <v>1009</v>
      </c>
      <c r="O46" t="s">
        <v>105</v>
      </c>
      <c r="P46" t="s">
        <v>105</v>
      </c>
      <c r="Q46">
        <v>1000</v>
      </c>
      <c r="X46">
        <v>1.2E-4</v>
      </c>
      <c r="Y46">
        <v>10324.77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1.2E-4</v>
      </c>
      <c r="AH46">
        <v>2</v>
      </c>
      <c r="AI46">
        <v>52157038</v>
      </c>
      <c r="AJ46">
        <v>44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ROW(Source!A48)</f>
        <v>48</v>
      </c>
      <c r="B47">
        <v>52157046</v>
      </c>
      <c r="C47">
        <v>52157034</v>
      </c>
      <c r="D47">
        <v>45822979</v>
      </c>
      <c r="E47">
        <v>1</v>
      </c>
      <c r="F47">
        <v>1</v>
      </c>
      <c r="G47">
        <v>1</v>
      </c>
      <c r="H47">
        <v>3</v>
      </c>
      <c r="I47" t="s">
        <v>383</v>
      </c>
      <c r="J47" t="s">
        <v>384</v>
      </c>
      <c r="K47" t="s">
        <v>385</v>
      </c>
      <c r="L47">
        <v>1348</v>
      </c>
      <c r="N47">
        <v>1009</v>
      </c>
      <c r="O47" t="s">
        <v>105</v>
      </c>
      <c r="P47" t="s">
        <v>105</v>
      </c>
      <c r="Q47">
        <v>1000</v>
      </c>
      <c r="X47">
        <v>0</v>
      </c>
      <c r="Y47">
        <v>0</v>
      </c>
      <c r="Z47">
        <v>0</v>
      </c>
      <c r="AA47">
        <v>0</v>
      </c>
      <c r="AB47">
        <v>0</v>
      </c>
      <c r="AC47">
        <v>1</v>
      </c>
      <c r="AD47">
        <v>0</v>
      </c>
      <c r="AE47">
        <v>0</v>
      </c>
      <c r="AF47" t="s">
        <v>3</v>
      </c>
      <c r="AG47">
        <v>0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ROW(Source!A52)</f>
        <v>52</v>
      </c>
      <c r="B48">
        <v>52157055</v>
      </c>
      <c r="C48">
        <v>52157050</v>
      </c>
      <c r="D48">
        <v>45976914</v>
      </c>
      <c r="E48">
        <v>1</v>
      </c>
      <c r="F48">
        <v>1</v>
      </c>
      <c r="G48">
        <v>1</v>
      </c>
      <c r="H48">
        <v>1</v>
      </c>
      <c r="I48" t="s">
        <v>341</v>
      </c>
      <c r="J48" t="s">
        <v>3</v>
      </c>
      <c r="K48" t="s">
        <v>342</v>
      </c>
      <c r="L48">
        <v>1476</v>
      </c>
      <c r="N48">
        <v>1013</v>
      </c>
      <c r="O48" t="s">
        <v>283</v>
      </c>
      <c r="P48" t="s">
        <v>284</v>
      </c>
      <c r="Q48">
        <v>1</v>
      </c>
      <c r="X48">
        <v>0.68</v>
      </c>
      <c r="Y48">
        <v>0</v>
      </c>
      <c r="Z48">
        <v>0</v>
      </c>
      <c r="AA48">
        <v>0</v>
      </c>
      <c r="AB48">
        <v>6.88</v>
      </c>
      <c r="AC48">
        <v>0</v>
      </c>
      <c r="AD48">
        <v>1</v>
      </c>
      <c r="AE48">
        <v>1</v>
      </c>
      <c r="AF48" t="s">
        <v>12</v>
      </c>
      <c r="AG48">
        <v>0.78200000000000003</v>
      </c>
      <c r="AH48">
        <v>2</v>
      </c>
      <c r="AI48">
        <v>52157051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ROW(Source!A52)</f>
        <v>52</v>
      </c>
      <c r="B49">
        <v>52157056</v>
      </c>
      <c r="C49">
        <v>52157050</v>
      </c>
      <c r="D49">
        <v>45811549</v>
      </c>
      <c r="E49">
        <v>1</v>
      </c>
      <c r="F49">
        <v>1</v>
      </c>
      <c r="G49">
        <v>1</v>
      </c>
      <c r="H49">
        <v>2</v>
      </c>
      <c r="I49" t="s">
        <v>343</v>
      </c>
      <c r="J49" t="s">
        <v>344</v>
      </c>
      <c r="K49" t="s">
        <v>345</v>
      </c>
      <c r="L49">
        <v>45811227</v>
      </c>
      <c r="N49">
        <v>1013</v>
      </c>
      <c r="O49" t="s">
        <v>290</v>
      </c>
      <c r="P49" t="s">
        <v>290</v>
      </c>
      <c r="Q49">
        <v>1</v>
      </c>
      <c r="X49">
        <v>0.19</v>
      </c>
      <c r="Y49">
        <v>0</v>
      </c>
      <c r="Z49">
        <v>14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11</v>
      </c>
      <c r="AG49">
        <v>0.23749999999999999</v>
      </c>
      <c r="AH49">
        <v>2</v>
      </c>
      <c r="AI49">
        <v>52157052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ROW(Source!A52)</f>
        <v>52</v>
      </c>
      <c r="B50">
        <v>52157057</v>
      </c>
      <c r="C50">
        <v>52157050</v>
      </c>
      <c r="D50">
        <v>45816006</v>
      </c>
      <c r="E50">
        <v>1</v>
      </c>
      <c r="F50">
        <v>1</v>
      </c>
      <c r="G50">
        <v>1</v>
      </c>
      <c r="H50">
        <v>3</v>
      </c>
      <c r="I50" t="s">
        <v>346</v>
      </c>
      <c r="J50" t="s">
        <v>347</v>
      </c>
      <c r="K50" t="s">
        <v>348</v>
      </c>
      <c r="L50">
        <v>1348</v>
      </c>
      <c r="N50">
        <v>1009</v>
      </c>
      <c r="O50" t="s">
        <v>105</v>
      </c>
      <c r="P50" t="s">
        <v>105</v>
      </c>
      <c r="Q50">
        <v>1000</v>
      </c>
      <c r="X50">
        <v>3.0000000000000001E-5</v>
      </c>
      <c r="Y50">
        <v>10324.77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3.0000000000000001E-5</v>
      </c>
      <c r="AH50">
        <v>2</v>
      </c>
      <c r="AI50">
        <v>52157053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ROW(Source!A52)</f>
        <v>52</v>
      </c>
      <c r="B51">
        <v>52157058</v>
      </c>
      <c r="C51">
        <v>52157050</v>
      </c>
      <c r="D51">
        <v>45839525</v>
      </c>
      <c r="E51">
        <v>1</v>
      </c>
      <c r="F51">
        <v>1</v>
      </c>
      <c r="G51">
        <v>1</v>
      </c>
      <c r="H51">
        <v>3</v>
      </c>
      <c r="I51" t="s">
        <v>103</v>
      </c>
      <c r="J51" t="s">
        <v>106</v>
      </c>
      <c r="K51" t="s">
        <v>104</v>
      </c>
      <c r="L51">
        <v>1348</v>
      </c>
      <c r="N51">
        <v>1009</v>
      </c>
      <c r="O51" t="s">
        <v>105</v>
      </c>
      <c r="P51" t="s">
        <v>105</v>
      </c>
      <c r="Q51">
        <v>1000</v>
      </c>
      <c r="X51">
        <v>5.0000000000000001E-3</v>
      </c>
      <c r="Y51">
        <v>6168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5.0000000000000001E-3</v>
      </c>
      <c r="AH51">
        <v>2</v>
      </c>
      <c r="AI51">
        <v>52157054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ROW(Source!A53)</f>
        <v>53</v>
      </c>
      <c r="B52">
        <v>52157070</v>
      </c>
      <c r="C52">
        <v>52157059</v>
      </c>
      <c r="D52">
        <v>45991065</v>
      </c>
      <c r="E52">
        <v>1</v>
      </c>
      <c r="F52">
        <v>1</v>
      </c>
      <c r="G52">
        <v>1</v>
      </c>
      <c r="H52">
        <v>1</v>
      </c>
      <c r="I52" t="s">
        <v>349</v>
      </c>
      <c r="J52" t="s">
        <v>3</v>
      </c>
      <c r="K52" t="s">
        <v>350</v>
      </c>
      <c r="L52">
        <v>1476</v>
      </c>
      <c r="N52">
        <v>1013</v>
      </c>
      <c r="O52" t="s">
        <v>283</v>
      </c>
      <c r="P52" t="s">
        <v>284</v>
      </c>
      <c r="Q52">
        <v>1</v>
      </c>
      <c r="X52">
        <v>3.64</v>
      </c>
      <c r="Y52">
        <v>0</v>
      </c>
      <c r="Z52">
        <v>0</v>
      </c>
      <c r="AA52">
        <v>0</v>
      </c>
      <c r="AB52">
        <v>7.94</v>
      </c>
      <c r="AC52">
        <v>0</v>
      </c>
      <c r="AD52">
        <v>1</v>
      </c>
      <c r="AE52">
        <v>1</v>
      </c>
      <c r="AF52" t="s">
        <v>3</v>
      </c>
      <c r="AG52">
        <v>3.64</v>
      </c>
      <c r="AH52">
        <v>2</v>
      </c>
      <c r="AI52">
        <v>52157060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ROW(Source!A53)</f>
        <v>53</v>
      </c>
      <c r="B53">
        <v>52157071</v>
      </c>
      <c r="C53">
        <v>52157059</v>
      </c>
      <c r="D53">
        <v>121548</v>
      </c>
      <c r="E53">
        <v>1</v>
      </c>
      <c r="F53">
        <v>1</v>
      </c>
      <c r="G53">
        <v>1</v>
      </c>
      <c r="H53">
        <v>1</v>
      </c>
      <c r="I53" t="s">
        <v>26</v>
      </c>
      <c r="J53" t="s">
        <v>3</v>
      </c>
      <c r="K53" t="s">
        <v>285</v>
      </c>
      <c r="L53">
        <v>608254</v>
      </c>
      <c r="N53">
        <v>1013</v>
      </c>
      <c r="O53" t="s">
        <v>286</v>
      </c>
      <c r="P53" t="s">
        <v>286</v>
      </c>
      <c r="Q53">
        <v>1</v>
      </c>
      <c r="X53">
        <v>1.27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3</v>
      </c>
      <c r="AG53">
        <v>1.27</v>
      </c>
      <c r="AH53">
        <v>2</v>
      </c>
      <c r="AI53">
        <v>52157061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ROW(Source!A53)</f>
        <v>53</v>
      </c>
      <c r="B54">
        <v>52157072</v>
      </c>
      <c r="C54">
        <v>52157059</v>
      </c>
      <c r="D54">
        <v>45811342</v>
      </c>
      <c r="E54">
        <v>1</v>
      </c>
      <c r="F54">
        <v>1</v>
      </c>
      <c r="G54">
        <v>1</v>
      </c>
      <c r="H54">
        <v>2</v>
      </c>
      <c r="I54" t="s">
        <v>351</v>
      </c>
      <c r="J54" t="s">
        <v>352</v>
      </c>
      <c r="K54" t="s">
        <v>353</v>
      </c>
      <c r="L54">
        <v>45811227</v>
      </c>
      <c r="N54">
        <v>1013</v>
      </c>
      <c r="O54" t="s">
        <v>290</v>
      </c>
      <c r="P54" t="s">
        <v>290</v>
      </c>
      <c r="Q54">
        <v>1</v>
      </c>
      <c r="X54">
        <v>0.02</v>
      </c>
      <c r="Y54">
        <v>0</v>
      </c>
      <c r="Z54">
        <v>134.41</v>
      </c>
      <c r="AA54">
        <v>13.26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52157062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ROW(Source!A53)</f>
        <v>53</v>
      </c>
      <c r="B55">
        <v>52157073</v>
      </c>
      <c r="C55">
        <v>52157059</v>
      </c>
      <c r="D55">
        <v>45811492</v>
      </c>
      <c r="E55">
        <v>1</v>
      </c>
      <c r="F55">
        <v>1</v>
      </c>
      <c r="G55">
        <v>1</v>
      </c>
      <c r="H55">
        <v>2</v>
      </c>
      <c r="I55" t="s">
        <v>354</v>
      </c>
      <c r="J55" t="s">
        <v>355</v>
      </c>
      <c r="K55" t="s">
        <v>356</v>
      </c>
      <c r="L55">
        <v>45811227</v>
      </c>
      <c r="N55">
        <v>1013</v>
      </c>
      <c r="O55" t="s">
        <v>290</v>
      </c>
      <c r="P55" t="s">
        <v>290</v>
      </c>
      <c r="Q55">
        <v>1</v>
      </c>
      <c r="X55">
        <v>1.25</v>
      </c>
      <c r="Y55">
        <v>0</v>
      </c>
      <c r="Z55">
        <v>142.46</v>
      </c>
      <c r="AA55">
        <v>13.26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1.25</v>
      </c>
      <c r="AH55">
        <v>2</v>
      </c>
      <c r="AI55">
        <v>52157063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ROW(Source!A53)</f>
        <v>53</v>
      </c>
      <c r="B56">
        <v>52157074</v>
      </c>
      <c r="C56">
        <v>52157059</v>
      </c>
      <c r="D56">
        <v>45813321</v>
      </c>
      <c r="E56">
        <v>1</v>
      </c>
      <c r="F56">
        <v>1</v>
      </c>
      <c r="G56">
        <v>1</v>
      </c>
      <c r="H56">
        <v>2</v>
      </c>
      <c r="I56" t="s">
        <v>302</v>
      </c>
      <c r="J56" t="s">
        <v>303</v>
      </c>
      <c r="K56" t="s">
        <v>304</v>
      </c>
      <c r="L56">
        <v>45811227</v>
      </c>
      <c r="N56">
        <v>1013</v>
      </c>
      <c r="O56" t="s">
        <v>290</v>
      </c>
      <c r="P56" t="s">
        <v>290</v>
      </c>
      <c r="Q56">
        <v>1</v>
      </c>
      <c r="X56">
        <v>0.02</v>
      </c>
      <c r="Y56">
        <v>0</v>
      </c>
      <c r="Z56">
        <v>86.55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0.02</v>
      </c>
      <c r="AH56">
        <v>2</v>
      </c>
      <c r="AI56">
        <v>52157064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ROW(Source!A53)</f>
        <v>53</v>
      </c>
      <c r="B57">
        <v>52157075</v>
      </c>
      <c r="C57">
        <v>52157059</v>
      </c>
      <c r="D57">
        <v>45816643</v>
      </c>
      <c r="E57">
        <v>1</v>
      </c>
      <c r="F57">
        <v>1</v>
      </c>
      <c r="G57">
        <v>1</v>
      </c>
      <c r="H57">
        <v>3</v>
      </c>
      <c r="I57" t="s">
        <v>357</v>
      </c>
      <c r="J57" t="s">
        <v>358</v>
      </c>
      <c r="K57" t="s">
        <v>359</v>
      </c>
      <c r="L57">
        <v>1346</v>
      </c>
      <c r="N57">
        <v>1009</v>
      </c>
      <c r="O57" t="s">
        <v>314</v>
      </c>
      <c r="P57" t="s">
        <v>314</v>
      </c>
      <c r="Q57">
        <v>1</v>
      </c>
      <c r="X57">
        <v>0.1</v>
      </c>
      <c r="Y57">
        <v>9.19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0.1</v>
      </c>
      <c r="AH57">
        <v>2</v>
      </c>
      <c r="AI57">
        <v>52157065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ROW(Source!A53)</f>
        <v>53</v>
      </c>
      <c r="B58">
        <v>52157076</v>
      </c>
      <c r="C58">
        <v>52157059</v>
      </c>
      <c r="D58">
        <v>45816838</v>
      </c>
      <c r="E58">
        <v>1</v>
      </c>
      <c r="F58">
        <v>1</v>
      </c>
      <c r="G58">
        <v>1</v>
      </c>
      <c r="H58">
        <v>3</v>
      </c>
      <c r="I58" t="s">
        <v>360</v>
      </c>
      <c r="J58" t="s">
        <v>361</v>
      </c>
      <c r="K58" t="s">
        <v>362</v>
      </c>
      <c r="L58">
        <v>1346</v>
      </c>
      <c r="N58">
        <v>1009</v>
      </c>
      <c r="O58" t="s">
        <v>314</v>
      </c>
      <c r="P58" t="s">
        <v>314</v>
      </c>
      <c r="Q58">
        <v>1</v>
      </c>
      <c r="X58">
        <v>0.7</v>
      </c>
      <c r="Y58">
        <v>25.89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0.7</v>
      </c>
      <c r="AH58">
        <v>2</v>
      </c>
      <c r="AI58">
        <v>52157066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ROW(Source!A53)</f>
        <v>53</v>
      </c>
      <c r="B59">
        <v>52157077</v>
      </c>
      <c r="C59">
        <v>52157059</v>
      </c>
      <c r="D59">
        <v>45967299</v>
      </c>
      <c r="E59">
        <v>1</v>
      </c>
      <c r="F59">
        <v>1</v>
      </c>
      <c r="G59">
        <v>1</v>
      </c>
      <c r="H59">
        <v>3</v>
      </c>
      <c r="I59" t="s">
        <v>363</v>
      </c>
      <c r="J59" t="s">
        <v>364</v>
      </c>
      <c r="K59" t="s">
        <v>365</v>
      </c>
      <c r="L59">
        <v>1344</v>
      </c>
      <c r="N59">
        <v>1008</v>
      </c>
      <c r="O59" t="s">
        <v>366</v>
      </c>
      <c r="P59" t="s">
        <v>366</v>
      </c>
      <c r="Q59">
        <v>1</v>
      </c>
      <c r="X59">
        <v>0.57999999999999996</v>
      </c>
      <c r="Y59">
        <v>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0.57999999999999996</v>
      </c>
      <c r="AH59">
        <v>2</v>
      </c>
      <c r="AI59">
        <v>52157067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ROW(Source!A56)</f>
        <v>56</v>
      </c>
      <c r="B60">
        <v>52157092</v>
      </c>
      <c r="C60">
        <v>52157080</v>
      </c>
      <c r="D60">
        <v>45988109</v>
      </c>
      <c r="E60">
        <v>1</v>
      </c>
      <c r="F60">
        <v>1</v>
      </c>
      <c r="G60">
        <v>1</v>
      </c>
      <c r="H60">
        <v>1</v>
      </c>
      <c r="I60" t="s">
        <v>367</v>
      </c>
      <c r="J60" t="s">
        <v>3</v>
      </c>
      <c r="K60" t="s">
        <v>368</v>
      </c>
      <c r="L60">
        <v>1476</v>
      </c>
      <c r="N60">
        <v>1013</v>
      </c>
      <c r="O60" t="s">
        <v>283</v>
      </c>
      <c r="P60" t="s">
        <v>284</v>
      </c>
      <c r="Q60">
        <v>1</v>
      </c>
      <c r="X60">
        <v>1.46</v>
      </c>
      <c r="Y60">
        <v>0</v>
      </c>
      <c r="Z60">
        <v>0</v>
      </c>
      <c r="AA60">
        <v>0</v>
      </c>
      <c r="AB60">
        <v>8.5399999999999991</v>
      </c>
      <c r="AC60">
        <v>0</v>
      </c>
      <c r="AD60">
        <v>1</v>
      </c>
      <c r="AE60">
        <v>1</v>
      </c>
      <c r="AF60" t="s">
        <v>3</v>
      </c>
      <c r="AG60">
        <v>1.46</v>
      </c>
      <c r="AH60">
        <v>2</v>
      </c>
      <c r="AI60">
        <v>52157081</v>
      </c>
      <c r="AJ60">
        <v>62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ROW(Source!A56)</f>
        <v>56</v>
      </c>
      <c r="B61">
        <v>52157093</v>
      </c>
      <c r="C61">
        <v>52157080</v>
      </c>
      <c r="D61">
        <v>121548</v>
      </c>
      <c r="E61">
        <v>1</v>
      </c>
      <c r="F61">
        <v>1</v>
      </c>
      <c r="G61">
        <v>1</v>
      </c>
      <c r="H61">
        <v>1</v>
      </c>
      <c r="I61" t="s">
        <v>26</v>
      </c>
      <c r="J61" t="s">
        <v>3</v>
      </c>
      <c r="K61" t="s">
        <v>285</v>
      </c>
      <c r="L61">
        <v>608254</v>
      </c>
      <c r="N61">
        <v>1013</v>
      </c>
      <c r="O61" t="s">
        <v>286</v>
      </c>
      <c r="P61" t="s">
        <v>286</v>
      </c>
      <c r="Q61">
        <v>1</v>
      </c>
      <c r="X61">
        <v>0.31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2</v>
      </c>
      <c r="AF61" t="s">
        <v>3</v>
      </c>
      <c r="AG61">
        <v>0.31</v>
      </c>
      <c r="AH61">
        <v>2</v>
      </c>
      <c r="AI61">
        <v>52157082</v>
      </c>
      <c r="AJ61">
        <v>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ROW(Source!A56)</f>
        <v>56</v>
      </c>
      <c r="B62">
        <v>52157094</v>
      </c>
      <c r="C62">
        <v>52157080</v>
      </c>
      <c r="D62">
        <v>45811342</v>
      </c>
      <c r="E62">
        <v>1</v>
      </c>
      <c r="F62">
        <v>1</v>
      </c>
      <c r="G62">
        <v>1</v>
      </c>
      <c r="H62">
        <v>2</v>
      </c>
      <c r="I62" t="s">
        <v>351</v>
      </c>
      <c r="J62" t="s">
        <v>352</v>
      </c>
      <c r="K62" t="s">
        <v>353</v>
      </c>
      <c r="L62">
        <v>45811227</v>
      </c>
      <c r="N62">
        <v>1013</v>
      </c>
      <c r="O62" t="s">
        <v>290</v>
      </c>
      <c r="P62" t="s">
        <v>290</v>
      </c>
      <c r="Q62">
        <v>1</v>
      </c>
      <c r="X62">
        <v>0.02</v>
      </c>
      <c r="Y62">
        <v>0</v>
      </c>
      <c r="Z62">
        <v>134.41</v>
      </c>
      <c r="AA62">
        <v>13.26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0.02</v>
      </c>
      <c r="AH62">
        <v>2</v>
      </c>
      <c r="AI62">
        <v>52157083</v>
      </c>
      <c r="AJ62">
        <v>64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ROW(Source!A56)</f>
        <v>56</v>
      </c>
      <c r="B63">
        <v>52157095</v>
      </c>
      <c r="C63">
        <v>52157080</v>
      </c>
      <c r="D63">
        <v>45811492</v>
      </c>
      <c r="E63">
        <v>1</v>
      </c>
      <c r="F63">
        <v>1</v>
      </c>
      <c r="G63">
        <v>1</v>
      </c>
      <c r="H63">
        <v>2</v>
      </c>
      <c r="I63" t="s">
        <v>354</v>
      </c>
      <c r="J63" t="s">
        <v>355</v>
      </c>
      <c r="K63" t="s">
        <v>356</v>
      </c>
      <c r="L63">
        <v>45811227</v>
      </c>
      <c r="N63">
        <v>1013</v>
      </c>
      <c r="O63" t="s">
        <v>290</v>
      </c>
      <c r="P63" t="s">
        <v>290</v>
      </c>
      <c r="Q63">
        <v>1</v>
      </c>
      <c r="X63">
        <v>0.28999999999999998</v>
      </c>
      <c r="Y63">
        <v>0</v>
      </c>
      <c r="Z63">
        <v>142.46</v>
      </c>
      <c r="AA63">
        <v>13.26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0.28999999999999998</v>
      </c>
      <c r="AH63">
        <v>2</v>
      </c>
      <c r="AI63">
        <v>52157084</v>
      </c>
      <c r="AJ63">
        <v>65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ROW(Source!A56)</f>
        <v>56</v>
      </c>
      <c r="B64">
        <v>52157096</v>
      </c>
      <c r="C64">
        <v>52157080</v>
      </c>
      <c r="D64">
        <v>45813321</v>
      </c>
      <c r="E64">
        <v>1</v>
      </c>
      <c r="F64">
        <v>1</v>
      </c>
      <c r="G64">
        <v>1</v>
      </c>
      <c r="H64">
        <v>2</v>
      </c>
      <c r="I64" t="s">
        <v>302</v>
      </c>
      <c r="J64" t="s">
        <v>303</v>
      </c>
      <c r="K64" t="s">
        <v>304</v>
      </c>
      <c r="L64">
        <v>45811227</v>
      </c>
      <c r="N64">
        <v>1013</v>
      </c>
      <c r="O64" t="s">
        <v>290</v>
      </c>
      <c r="P64" t="s">
        <v>290</v>
      </c>
      <c r="Q64">
        <v>1</v>
      </c>
      <c r="X64">
        <v>0.02</v>
      </c>
      <c r="Y64">
        <v>0</v>
      </c>
      <c r="Z64">
        <v>86.55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0.02</v>
      </c>
      <c r="AH64">
        <v>2</v>
      </c>
      <c r="AI64">
        <v>52157085</v>
      </c>
      <c r="AJ64">
        <v>66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ROW(Source!A56)</f>
        <v>56</v>
      </c>
      <c r="B65">
        <v>52157097</v>
      </c>
      <c r="C65">
        <v>52157080</v>
      </c>
      <c r="D65">
        <v>45816610</v>
      </c>
      <c r="E65">
        <v>1</v>
      </c>
      <c r="F65">
        <v>1</v>
      </c>
      <c r="G65">
        <v>1</v>
      </c>
      <c r="H65">
        <v>3</v>
      </c>
      <c r="I65" t="s">
        <v>369</v>
      </c>
      <c r="J65" t="s">
        <v>370</v>
      </c>
      <c r="K65" t="s">
        <v>371</v>
      </c>
      <c r="L65">
        <v>1346</v>
      </c>
      <c r="N65">
        <v>1009</v>
      </c>
      <c r="O65" t="s">
        <v>314</v>
      </c>
      <c r="P65" t="s">
        <v>314</v>
      </c>
      <c r="Q65">
        <v>1</v>
      </c>
      <c r="X65">
        <v>1.2E-2</v>
      </c>
      <c r="Y65">
        <v>23.59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1.2E-2</v>
      </c>
      <c r="AH65">
        <v>2</v>
      </c>
      <c r="AI65">
        <v>52157086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ROW(Source!A56)</f>
        <v>56</v>
      </c>
      <c r="B66">
        <v>52157098</v>
      </c>
      <c r="C66">
        <v>52157080</v>
      </c>
      <c r="D66">
        <v>45817317</v>
      </c>
      <c r="E66">
        <v>1</v>
      </c>
      <c r="F66">
        <v>1</v>
      </c>
      <c r="G66">
        <v>1</v>
      </c>
      <c r="H66">
        <v>3</v>
      </c>
      <c r="I66" t="s">
        <v>372</v>
      </c>
      <c r="J66" t="s">
        <v>373</v>
      </c>
      <c r="K66" t="s">
        <v>374</v>
      </c>
      <c r="L66">
        <v>1346</v>
      </c>
      <c r="N66">
        <v>1009</v>
      </c>
      <c r="O66" t="s">
        <v>314</v>
      </c>
      <c r="P66" t="s">
        <v>314</v>
      </c>
      <c r="Q66">
        <v>1</v>
      </c>
      <c r="X66">
        <v>0.01</v>
      </c>
      <c r="Y66">
        <v>28.15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0.01</v>
      </c>
      <c r="AH66">
        <v>2</v>
      </c>
      <c r="AI66">
        <v>52157087</v>
      </c>
      <c r="AJ66">
        <v>68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ROW(Source!A56)</f>
        <v>56</v>
      </c>
      <c r="B67">
        <v>52157099</v>
      </c>
      <c r="C67">
        <v>52157080</v>
      </c>
      <c r="D67">
        <v>45870745</v>
      </c>
      <c r="E67">
        <v>1</v>
      </c>
      <c r="F67">
        <v>1</v>
      </c>
      <c r="G67">
        <v>1</v>
      </c>
      <c r="H67">
        <v>3</v>
      </c>
      <c r="I67" t="s">
        <v>144</v>
      </c>
      <c r="J67" t="s">
        <v>146</v>
      </c>
      <c r="K67" t="s">
        <v>145</v>
      </c>
      <c r="L67">
        <v>1348</v>
      </c>
      <c r="N67">
        <v>1009</v>
      </c>
      <c r="O67" t="s">
        <v>105</v>
      </c>
      <c r="P67" t="s">
        <v>105</v>
      </c>
      <c r="Q67">
        <v>1000</v>
      </c>
      <c r="X67">
        <v>5.0000000000000001E-4</v>
      </c>
      <c r="Y67">
        <v>89303.44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5.0000000000000001E-4</v>
      </c>
      <c r="AH67">
        <v>2</v>
      </c>
      <c r="AI67">
        <v>52157088</v>
      </c>
      <c r="AJ67">
        <v>69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ROW(Source!A56)</f>
        <v>56</v>
      </c>
      <c r="B68">
        <v>52157100</v>
      </c>
      <c r="C68">
        <v>52157080</v>
      </c>
      <c r="D68">
        <v>45873941</v>
      </c>
      <c r="E68">
        <v>1</v>
      </c>
      <c r="F68">
        <v>1</v>
      </c>
      <c r="G68">
        <v>1</v>
      </c>
      <c r="H68">
        <v>3</v>
      </c>
      <c r="I68" t="s">
        <v>375</v>
      </c>
      <c r="J68" t="s">
        <v>376</v>
      </c>
      <c r="K68" t="s">
        <v>377</v>
      </c>
      <c r="L68">
        <v>1346</v>
      </c>
      <c r="N68">
        <v>1009</v>
      </c>
      <c r="O68" t="s">
        <v>314</v>
      </c>
      <c r="P68" t="s">
        <v>314</v>
      </c>
      <c r="Q68">
        <v>1</v>
      </c>
      <c r="X68">
        <v>0.01</v>
      </c>
      <c r="Y68">
        <v>33.06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0.01</v>
      </c>
      <c r="AH68">
        <v>2</v>
      </c>
      <c r="AI68">
        <v>52157089</v>
      </c>
      <c r="AJ68">
        <v>70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ROW(Source!A56)</f>
        <v>56</v>
      </c>
      <c r="B69">
        <v>52157101</v>
      </c>
      <c r="C69">
        <v>52157080</v>
      </c>
      <c r="D69">
        <v>45967299</v>
      </c>
      <c r="E69">
        <v>1</v>
      </c>
      <c r="F69">
        <v>1</v>
      </c>
      <c r="G69">
        <v>1</v>
      </c>
      <c r="H69">
        <v>3</v>
      </c>
      <c r="I69" t="s">
        <v>363</v>
      </c>
      <c r="J69" t="s">
        <v>364</v>
      </c>
      <c r="K69" t="s">
        <v>365</v>
      </c>
      <c r="L69">
        <v>1344</v>
      </c>
      <c r="N69">
        <v>1008</v>
      </c>
      <c r="O69" t="s">
        <v>366</v>
      </c>
      <c r="P69" t="s">
        <v>366</v>
      </c>
      <c r="Q69">
        <v>1</v>
      </c>
      <c r="X69">
        <v>0.25</v>
      </c>
      <c r="Y69">
        <v>1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0.25</v>
      </c>
      <c r="AH69">
        <v>2</v>
      </c>
      <c r="AI69">
        <v>52157090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ROW(Source!A59)</f>
        <v>59</v>
      </c>
      <c r="B70">
        <v>52157115</v>
      </c>
      <c r="C70">
        <v>52157104</v>
      </c>
      <c r="D70">
        <v>45975157</v>
      </c>
      <c r="E70">
        <v>1</v>
      </c>
      <c r="F70">
        <v>1</v>
      </c>
      <c r="G70">
        <v>1</v>
      </c>
      <c r="H70">
        <v>1</v>
      </c>
      <c r="I70" t="s">
        <v>297</v>
      </c>
      <c r="J70" t="s">
        <v>3</v>
      </c>
      <c r="K70" t="s">
        <v>298</v>
      </c>
      <c r="L70">
        <v>1476</v>
      </c>
      <c r="N70">
        <v>1013</v>
      </c>
      <c r="O70" t="s">
        <v>283</v>
      </c>
      <c r="P70" t="s">
        <v>284</v>
      </c>
      <c r="Q70">
        <v>1</v>
      </c>
      <c r="X70">
        <v>4.29</v>
      </c>
      <c r="Y70">
        <v>0</v>
      </c>
      <c r="Z70">
        <v>0</v>
      </c>
      <c r="AA70">
        <v>0</v>
      </c>
      <c r="AB70">
        <v>7.21</v>
      </c>
      <c r="AC70">
        <v>0</v>
      </c>
      <c r="AD70">
        <v>1</v>
      </c>
      <c r="AE70">
        <v>1</v>
      </c>
      <c r="AF70" t="s">
        <v>153</v>
      </c>
      <c r="AG70">
        <v>4.9334999999999996</v>
      </c>
      <c r="AH70">
        <v>2</v>
      </c>
      <c r="AI70">
        <v>52157105</v>
      </c>
      <c r="AJ70">
        <v>73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ROW(Source!A59)</f>
        <v>59</v>
      </c>
      <c r="B71">
        <v>52157116</v>
      </c>
      <c r="C71">
        <v>52157104</v>
      </c>
      <c r="D71">
        <v>121548</v>
      </c>
      <c r="E71">
        <v>1</v>
      </c>
      <c r="F71">
        <v>1</v>
      </c>
      <c r="G71">
        <v>1</v>
      </c>
      <c r="H71">
        <v>1</v>
      </c>
      <c r="I71" t="s">
        <v>26</v>
      </c>
      <c r="J71" t="s">
        <v>3</v>
      </c>
      <c r="K71" t="s">
        <v>285</v>
      </c>
      <c r="L71">
        <v>608254</v>
      </c>
      <c r="N71">
        <v>1013</v>
      </c>
      <c r="O71" t="s">
        <v>286</v>
      </c>
      <c r="P71" t="s">
        <v>286</v>
      </c>
      <c r="Q71">
        <v>1</v>
      </c>
      <c r="X71">
        <v>0.97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</v>
      </c>
      <c r="AF71" t="s">
        <v>152</v>
      </c>
      <c r="AG71">
        <v>1.2124999999999999</v>
      </c>
      <c r="AH71">
        <v>2</v>
      </c>
      <c r="AI71">
        <v>52157106</v>
      </c>
      <c r="AJ71">
        <v>74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ROW(Source!A59)</f>
        <v>59</v>
      </c>
      <c r="B72">
        <v>52157117</v>
      </c>
      <c r="C72">
        <v>52157104</v>
      </c>
      <c r="D72">
        <v>45811486</v>
      </c>
      <c r="E72">
        <v>1</v>
      </c>
      <c r="F72">
        <v>1</v>
      </c>
      <c r="G72">
        <v>1</v>
      </c>
      <c r="H72">
        <v>2</v>
      </c>
      <c r="I72" t="s">
        <v>332</v>
      </c>
      <c r="J72" t="s">
        <v>333</v>
      </c>
      <c r="K72" t="s">
        <v>334</v>
      </c>
      <c r="L72">
        <v>45811227</v>
      </c>
      <c r="N72">
        <v>1013</v>
      </c>
      <c r="O72" t="s">
        <v>290</v>
      </c>
      <c r="P72" t="s">
        <v>290</v>
      </c>
      <c r="Q72">
        <v>1</v>
      </c>
      <c r="X72">
        <v>0.97</v>
      </c>
      <c r="Y72">
        <v>0</v>
      </c>
      <c r="Z72">
        <v>83.54</v>
      </c>
      <c r="AA72">
        <v>9.8800000000000008</v>
      </c>
      <c r="AB72">
        <v>0</v>
      </c>
      <c r="AC72">
        <v>0</v>
      </c>
      <c r="AD72">
        <v>1</v>
      </c>
      <c r="AE72">
        <v>0</v>
      </c>
      <c r="AF72" t="s">
        <v>152</v>
      </c>
      <c r="AG72">
        <v>1.2124999999999999</v>
      </c>
      <c r="AH72">
        <v>2</v>
      </c>
      <c r="AI72">
        <v>52157107</v>
      </c>
      <c r="AJ72">
        <v>75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ROW(Source!A59)</f>
        <v>59</v>
      </c>
      <c r="B73">
        <v>52157118</v>
      </c>
      <c r="C73">
        <v>52157104</v>
      </c>
      <c r="D73">
        <v>45813321</v>
      </c>
      <c r="E73">
        <v>1</v>
      </c>
      <c r="F73">
        <v>1</v>
      </c>
      <c r="G73">
        <v>1</v>
      </c>
      <c r="H73">
        <v>2</v>
      </c>
      <c r="I73" t="s">
        <v>302</v>
      </c>
      <c r="J73" t="s">
        <v>303</v>
      </c>
      <c r="K73" t="s">
        <v>304</v>
      </c>
      <c r="L73">
        <v>45811227</v>
      </c>
      <c r="N73">
        <v>1013</v>
      </c>
      <c r="O73" t="s">
        <v>290</v>
      </c>
      <c r="P73" t="s">
        <v>290</v>
      </c>
      <c r="Q73">
        <v>1</v>
      </c>
      <c r="X73">
        <v>0.22</v>
      </c>
      <c r="Y73">
        <v>0</v>
      </c>
      <c r="Z73">
        <v>86.55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152</v>
      </c>
      <c r="AG73">
        <v>0.27500000000000002</v>
      </c>
      <c r="AH73">
        <v>2</v>
      </c>
      <c r="AI73">
        <v>52157108</v>
      </c>
      <c r="AJ73">
        <v>76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ROW(Source!A59)</f>
        <v>59</v>
      </c>
      <c r="B74">
        <v>52157119</v>
      </c>
      <c r="C74">
        <v>52157104</v>
      </c>
      <c r="D74">
        <v>45815427</v>
      </c>
      <c r="E74">
        <v>1</v>
      </c>
      <c r="F74">
        <v>1</v>
      </c>
      <c r="G74">
        <v>1</v>
      </c>
      <c r="H74">
        <v>3</v>
      </c>
      <c r="I74" t="s">
        <v>308</v>
      </c>
      <c r="J74" t="s">
        <v>309</v>
      </c>
      <c r="K74" t="s">
        <v>310</v>
      </c>
      <c r="L74">
        <v>1348</v>
      </c>
      <c r="N74">
        <v>1009</v>
      </c>
      <c r="O74" t="s">
        <v>105</v>
      </c>
      <c r="P74" t="s">
        <v>105</v>
      </c>
      <c r="Q74">
        <v>1000</v>
      </c>
      <c r="X74">
        <v>3.0000000000000001E-5</v>
      </c>
      <c r="Y74">
        <v>9220.7199999999993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3.0000000000000001E-5</v>
      </c>
      <c r="AH74">
        <v>2</v>
      </c>
      <c r="AI74">
        <v>52157109</v>
      </c>
      <c r="AJ74">
        <v>77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ROW(Source!A59)</f>
        <v>59</v>
      </c>
      <c r="B75">
        <v>52157120</v>
      </c>
      <c r="C75">
        <v>52157104</v>
      </c>
      <c r="D75">
        <v>45815764</v>
      </c>
      <c r="E75">
        <v>1</v>
      </c>
      <c r="F75">
        <v>1</v>
      </c>
      <c r="G75">
        <v>1</v>
      </c>
      <c r="H75">
        <v>3</v>
      </c>
      <c r="I75" t="s">
        <v>378</v>
      </c>
      <c r="J75" t="s">
        <v>379</v>
      </c>
      <c r="K75" t="s">
        <v>380</v>
      </c>
      <c r="L75">
        <v>1348</v>
      </c>
      <c r="N75">
        <v>1009</v>
      </c>
      <c r="O75" t="s">
        <v>105</v>
      </c>
      <c r="P75" t="s">
        <v>105</v>
      </c>
      <c r="Q75">
        <v>1000</v>
      </c>
      <c r="X75">
        <v>3.0000000000000001E-5</v>
      </c>
      <c r="Y75">
        <v>6179.8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3.0000000000000001E-5</v>
      </c>
      <c r="AH75">
        <v>2</v>
      </c>
      <c r="AI75">
        <v>52157110</v>
      </c>
      <c r="AJ75">
        <v>78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ROW(Source!A59)</f>
        <v>59</v>
      </c>
      <c r="B76">
        <v>52157121</v>
      </c>
      <c r="C76">
        <v>52157104</v>
      </c>
      <c r="D76">
        <v>45816303</v>
      </c>
      <c r="E76">
        <v>1</v>
      </c>
      <c r="F76">
        <v>1</v>
      </c>
      <c r="G76">
        <v>1</v>
      </c>
      <c r="H76">
        <v>3</v>
      </c>
      <c r="I76" t="s">
        <v>381</v>
      </c>
      <c r="J76" t="s">
        <v>382</v>
      </c>
      <c r="K76" t="s">
        <v>359</v>
      </c>
      <c r="L76">
        <v>1348</v>
      </c>
      <c r="N76">
        <v>1009</v>
      </c>
      <c r="O76" t="s">
        <v>105</v>
      </c>
      <c r="P76" t="s">
        <v>105</v>
      </c>
      <c r="Q76">
        <v>1000</v>
      </c>
      <c r="X76">
        <v>0</v>
      </c>
      <c r="Y76">
        <v>9189.35</v>
      </c>
      <c r="Z76">
        <v>0</v>
      </c>
      <c r="AA76">
        <v>0</v>
      </c>
      <c r="AB76">
        <v>0</v>
      </c>
      <c r="AC76">
        <v>1</v>
      </c>
      <c r="AD76">
        <v>0</v>
      </c>
      <c r="AE76">
        <v>0</v>
      </c>
      <c r="AF76" t="s">
        <v>3</v>
      </c>
      <c r="AG76">
        <v>0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ROW(Source!A59)</f>
        <v>59</v>
      </c>
      <c r="B77">
        <v>52157122</v>
      </c>
      <c r="C77">
        <v>52157104</v>
      </c>
      <c r="D77">
        <v>45816364</v>
      </c>
      <c r="E77">
        <v>1</v>
      </c>
      <c r="F77">
        <v>1</v>
      </c>
      <c r="G77">
        <v>1</v>
      </c>
      <c r="H77">
        <v>3</v>
      </c>
      <c r="I77" t="s">
        <v>311</v>
      </c>
      <c r="J77" t="s">
        <v>312</v>
      </c>
      <c r="K77" t="s">
        <v>313</v>
      </c>
      <c r="L77">
        <v>1346</v>
      </c>
      <c r="N77">
        <v>1009</v>
      </c>
      <c r="O77" t="s">
        <v>314</v>
      </c>
      <c r="P77" t="s">
        <v>314</v>
      </c>
      <c r="Q77">
        <v>1</v>
      </c>
      <c r="X77">
        <v>0.02</v>
      </c>
      <c r="Y77">
        <v>1.69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0.02</v>
      </c>
      <c r="AH77">
        <v>2</v>
      </c>
      <c r="AI77">
        <v>52157111</v>
      </c>
      <c r="AJ77">
        <v>79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ROW(Source!A59)</f>
        <v>59</v>
      </c>
      <c r="B78">
        <v>52157123</v>
      </c>
      <c r="C78">
        <v>52157104</v>
      </c>
      <c r="D78">
        <v>45817071</v>
      </c>
      <c r="E78">
        <v>1</v>
      </c>
      <c r="F78">
        <v>1</v>
      </c>
      <c r="G78">
        <v>1</v>
      </c>
      <c r="H78">
        <v>3</v>
      </c>
      <c r="I78" t="s">
        <v>315</v>
      </c>
      <c r="J78" t="s">
        <v>316</v>
      </c>
      <c r="K78" t="s">
        <v>317</v>
      </c>
      <c r="L78">
        <v>1346</v>
      </c>
      <c r="N78">
        <v>1009</v>
      </c>
      <c r="O78" t="s">
        <v>314</v>
      </c>
      <c r="P78" t="s">
        <v>314</v>
      </c>
      <c r="Q78">
        <v>1</v>
      </c>
      <c r="X78">
        <v>0.1</v>
      </c>
      <c r="Y78">
        <v>13.33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0.1</v>
      </c>
      <c r="AH78">
        <v>2</v>
      </c>
      <c r="AI78">
        <v>52157112</v>
      </c>
      <c r="AJ78">
        <v>80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ROW(Source!A59)</f>
        <v>59</v>
      </c>
      <c r="B79">
        <v>52157124</v>
      </c>
      <c r="C79">
        <v>52157104</v>
      </c>
      <c r="D79">
        <v>45822979</v>
      </c>
      <c r="E79">
        <v>1</v>
      </c>
      <c r="F79">
        <v>1</v>
      </c>
      <c r="G79">
        <v>1</v>
      </c>
      <c r="H79">
        <v>3</v>
      </c>
      <c r="I79" t="s">
        <v>383</v>
      </c>
      <c r="J79" t="s">
        <v>384</v>
      </c>
      <c r="K79" t="s">
        <v>385</v>
      </c>
      <c r="L79">
        <v>1348</v>
      </c>
      <c r="N79">
        <v>1009</v>
      </c>
      <c r="O79" t="s">
        <v>105</v>
      </c>
      <c r="P79" t="s">
        <v>105</v>
      </c>
      <c r="Q79">
        <v>1000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</v>
      </c>
      <c r="AD79">
        <v>0</v>
      </c>
      <c r="AE79">
        <v>0</v>
      </c>
      <c r="AF79" t="s">
        <v>3</v>
      </c>
      <c r="AG79">
        <v>0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ROW(Source!A59)</f>
        <v>59</v>
      </c>
      <c r="B80">
        <v>52157125</v>
      </c>
      <c r="C80">
        <v>52157104</v>
      </c>
      <c r="D80">
        <v>45829708</v>
      </c>
      <c r="E80">
        <v>1</v>
      </c>
      <c r="F80">
        <v>1</v>
      </c>
      <c r="G80">
        <v>1</v>
      </c>
      <c r="H80">
        <v>3</v>
      </c>
      <c r="I80" t="s">
        <v>386</v>
      </c>
      <c r="J80" t="s">
        <v>387</v>
      </c>
      <c r="K80" t="s">
        <v>388</v>
      </c>
      <c r="L80">
        <v>1354</v>
      </c>
      <c r="N80">
        <v>1010</v>
      </c>
      <c r="O80" t="s">
        <v>37</v>
      </c>
      <c r="P80" t="s">
        <v>37</v>
      </c>
      <c r="Q80">
        <v>1</v>
      </c>
      <c r="X80">
        <v>0</v>
      </c>
      <c r="Y80">
        <v>0</v>
      </c>
      <c r="Z80">
        <v>0</v>
      </c>
      <c r="AA80">
        <v>0</v>
      </c>
      <c r="AB80">
        <v>0</v>
      </c>
      <c r="AC80">
        <v>1</v>
      </c>
      <c r="AD80">
        <v>0</v>
      </c>
      <c r="AE80">
        <v>0</v>
      </c>
      <c r="AF80" t="s">
        <v>3</v>
      </c>
      <c r="AG80">
        <v>0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ROW(Source!A59)</f>
        <v>59</v>
      </c>
      <c r="B81">
        <v>52157126</v>
      </c>
      <c r="C81">
        <v>52157104</v>
      </c>
      <c r="D81">
        <v>45830136</v>
      </c>
      <c r="E81">
        <v>1</v>
      </c>
      <c r="F81">
        <v>1</v>
      </c>
      <c r="G81">
        <v>1</v>
      </c>
      <c r="H81">
        <v>3</v>
      </c>
      <c r="I81" t="s">
        <v>318</v>
      </c>
      <c r="J81" t="s">
        <v>319</v>
      </c>
      <c r="K81" t="s">
        <v>320</v>
      </c>
      <c r="L81">
        <v>1348</v>
      </c>
      <c r="N81">
        <v>1009</v>
      </c>
      <c r="O81" t="s">
        <v>105</v>
      </c>
      <c r="P81" t="s">
        <v>105</v>
      </c>
      <c r="Q81">
        <v>1000</v>
      </c>
      <c r="X81">
        <v>1E-4</v>
      </c>
      <c r="Y81">
        <v>9368.7199999999993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1E-4</v>
      </c>
      <c r="AH81">
        <v>2</v>
      </c>
      <c r="AI81">
        <v>52157113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ROW(Source!A59)</f>
        <v>59</v>
      </c>
      <c r="B82">
        <v>52157127</v>
      </c>
      <c r="C82">
        <v>52157104</v>
      </c>
      <c r="D82">
        <v>45837951</v>
      </c>
      <c r="E82">
        <v>1</v>
      </c>
      <c r="F82">
        <v>1</v>
      </c>
      <c r="G82">
        <v>1</v>
      </c>
      <c r="H82">
        <v>3</v>
      </c>
      <c r="I82" t="s">
        <v>413</v>
      </c>
      <c r="J82" t="s">
        <v>414</v>
      </c>
      <c r="K82" t="s">
        <v>415</v>
      </c>
      <c r="L82">
        <v>1346</v>
      </c>
      <c r="N82">
        <v>1009</v>
      </c>
      <c r="O82" t="s">
        <v>314</v>
      </c>
      <c r="P82" t="s">
        <v>314</v>
      </c>
      <c r="Q82">
        <v>1</v>
      </c>
      <c r="X82">
        <v>0</v>
      </c>
      <c r="Y82">
        <v>0</v>
      </c>
      <c r="Z82">
        <v>0</v>
      </c>
      <c r="AA82">
        <v>0</v>
      </c>
      <c r="AB82">
        <v>0</v>
      </c>
      <c r="AC82">
        <v>1</v>
      </c>
      <c r="AD82">
        <v>0</v>
      </c>
      <c r="AE82">
        <v>0</v>
      </c>
      <c r="AF82" t="s">
        <v>3</v>
      </c>
      <c r="AG82">
        <v>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ROW(Source!A59)</f>
        <v>59</v>
      </c>
      <c r="B83">
        <v>52157128</v>
      </c>
      <c r="C83">
        <v>52157104</v>
      </c>
      <c r="D83">
        <v>45837956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1346</v>
      </c>
      <c r="N83">
        <v>1009</v>
      </c>
      <c r="O83" t="s">
        <v>314</v>
      </c>
      <c r="P83" t="s">
        <v>314</v>
      </c>
      <c r="Q83">
        <v>1</v>
      </c>
      <c r="X83">
        <v>0</v>
      </c>
      <c r="Y83">
        <v>0</v>
      </c>
      <c r="Z83">
        <v>0</v>
      </c>
      <c r="AA83">
        <v>0</v>
      </c>
      <c r="AB83">
        <v>0</v>
      </c>
      <c r="AC83">
        <v>1</v>
      </c>
      <c r="AD83">
        <v>0</v>
      </c>
      <c r="AE83">
        <v>0</v>
      </c>
      <c r="AF83" t="s">
        <v>3</v>
      </c>
      <c r="AG83">
        <v>0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11 граф c НР и СП</vt:lpstr>
      <vt:lpstr>Source</vt:lpstr>
      <vt:lpstr>SourceObSm</vt:lpstr>
      <vt:lpstr>SmtRes</vt:lpstr>
      <vt:lpstr>EtalonRes</vt:lpstr>
      <vt:lpstr>'Смета 11 граф c НР и СП'!Заголовки_для_печати</vt:lpstr>
      <vt:lpstr>'Смета 11 граф c НР и СП'!Область_печати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Дуникова Виктория Валерьевна</cp:lastModifiedBy>
  <cp:lastPrinted>2020-12-04T11:54:42Z</cp:lastPrinted>
  <dcterms:created xsi:type="dcterms:W3CDTF">2020-12-04T08:06:15Z</dcterms:created>
  <dcterms:modified xsi:type="dcterms:W3CDTF">2020-12-04T12:00:44Z</dcterms:modified>
</cp:coreProperties>
</file>