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em\Desktop\2021 дворы\Дворы сметы\"/>
    </mc:Choice>
  </mc:AlternateContent>
  <bookViews>
    <workbookView xWindow="0" yWindow="0" windowWidth="1980" windowHeight="1170"/>
  </bookViews>
  <sheets>
    <sheet name="Смета 11 граф c НР и СП" sheetId="5" r:id="rId1"/>
    <sheet name="Дефектная ведомость" sheetId="6" r:id="rId2"/>
    <sheet name="Source" sheetId="1" r:id="rId3"/>
    <sheet name="SourceObSm" sheetId="2" r:id="rId4"/>
    <sheet name="SmtRes" sheetId="3" r:id="rId5"/>
    <sheet name="EtalonRes" sheetId="4" r:id="rId6"/>
  </sheets>
  <definedNames>
    <definedName name="_xlnm.Print_Titles" localSheetId="1">'Дефектная ведомость'!$15:$15</definedName>
    <definedName name="_xlnm.Print_Titles" localSheetId="0">'Смета 11 граф c НР и СП'!$21:$21</definedName>
    <definedName name="_xlnm.Print_Area" localSheetId="1">'Дефектная ведомость'!$A$1:$E$77</definedName>
    <definedName name="_xlnm.Print_Area" localSheetId="0">'Смета 11 граф c НР и СП'!$A$1:$K$469</definedName>
  </definedNames>
  <calcPr calcId="152511"/>
</workbook>
</file>

<file path=xl/calcChain.xml><?xml version="1.0" encoding="utf-8"?>
<calcChain xmlns="http://schemas.openxmlformats.org/spreadsheetml/2006/main">
  <c r="I35" i="1" l="1"/>
  <c r="C46" i="5" s="1"/>
  <c r="A9" i="6" l="1"/>
  <c r="D72" i="6" l="1"/>
  <c r="C72" i="6"/>
  <c r="B72" i="6"/>
  <c r="A72" i="6"/>
  <c r="C71" i="6"/>
  <c r="B71" i="6"/>
  <c r="A71" i="6"/>
  <c r="C70" i="6"/>
  <c r="B70" i="6"/>
  <c r="C69" i="6"/>
  <c r="B69" i="6"/>
  <c r="C68" i="6"/>
  <c r="B68" i="6"/>
  <c r="C67" i="6"/>
  <c r="B67" i="6"/>
  <c r="A67" i="6"/>
  <c r="C66" i="6"/>
  <c r="B66" i="6"/>
  <c r="C65" i="6"/>
  <c r="B65" i="6"/>
  <c r="C64" i="6"/>
  <c r="B64" i="6"/>
  <c r="A64" i="6"/>
  <c r="C63" i="6"/>
  <c r="B63" i="6"/>
  <c r="A63" i="6"/>
  <c r="C62" i="6"/>
  <c r="B62" i="6"/>
  <c r="A62" i="6"/>
  <c r="D61" i="6"/>
  <c r="C61" i="6"/>
  <c r="B61" i="6"/>
  <c r="A61" i="6"/>
  <c r="D60" i="6"/>
  <c r="C60" i="6"/>
  <c r="B60" i="6"/>
  <c r="A60" i="6"/>
  <c r="C59" i="6"/>
  <c r="B59" i="6"/>
  <c r="A59" i="6"/>
  <c r="C58" i="6"/>
  <c r="B58" i="6"/>
  <c r="A58" i="6"/>
  <c r="C57" i="6"/>
  <c r="B57" i="6"/>
  <c r="A57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A46" i="6"/>
  <c r="C45" i="6"/>
  <c r="B45" i="6"/>
  <c r="A45" i="6"/>
  <c r="C44" i="6"/>
  <c r="B44" i="6"/>
  <c r="A44" i="6"/>
  <c r="C43" i="6"/>
  <c r="B43" i="6"/>
  <c r="A43" i="6"/>
  <c r="C42" i="6"/>
  <c r="B42" i="6"/>
  <c r="C41" i="6"/>
  <c r="B41" i="6"/>
  <c r="A41" i="6"/>
  <c r="C40" i="6"/>
  <c r="B40" i="6"/>
  <c r="C39" i="6"/>
  <c r="B39" i="6"/>
  <c r="A39" i="6"/>
  <c r="C38" i="6"/>
  <c r="B38" i="6"/>
  <c r="A38" i="6"/>
  <c r="A37" i="6"/>
  <c r="C36" i="6"/>
  <c r="B36" i="6"/>
  <c r="C35" i="6"/>
  <c r="A35" i="6"/>
  <c r="C34" i="6"/>
  <c r="B34" i="6"/>
  <c r="A34" i="6"/>
  <c r="C33" i="6"/>
  <c r="A33" i="6"/>
  <c r="C32" i="6"/>
  <c r="B32" i="6"/>
  <c r="A32" i="6"/>
  <c r="C31" i="6"/>
  <c r="B31" i="6"/>
  <c r="C30" i="6"/>
  <c r="B30" i="6"/>
  <c r="A30" i="6"/>
  <c r="C29" i="6"/>
  <c r="B29" i="6"/>
  <c r="A29" i="6"/>
  <c r="C28" i="6"/>
  <c r="B28" i="6"/>
  <c r="C27" i="6"/>
  <c r="B27" i="6"/>
  <c r="A27" i="6"/>
  <c r="A26" i="6"/>
  <c r="A25" i="6"/>
  <c r="C24" i="6"/>
  <c r="B24" i="6"/>
  <c r="A24" i="6"/>
  <c r="C23" i="6"/>
  <c r="B23" i="6"/>
  <c r="A23" i="6"/>
  <c r="C22" i="6"/>
  <c r="B22" i="6"/>
  <c r="A22" i="6"/>
  <c r="D21" i="6"/>
  <c r="C21" i="6"/>
  <c r="B21" i="6"/>
  <c r="A21" i="6"/>
  <c r="C20" i="6"/>
  <c r="B20" i="6"/>
  <c r="A20" i="6"/>
  <c r="C19" i="6"/>
  <c r="B19" i="6"/>
  <c r="A19" i="6"/>
  <c r="C18" i="6"/>
  <c r="B18" i="6"/>
  <c r="A18" i="6"/>
  <c r="A17" i="6"/>
  <c r="A16" i="6"/>
  <c r="AD9" i="6"/>
  <c r="A1" i="6"/>
  <c r="I467" i="5"/>
  <c r="I464" i="5"/>
  <c r="C467" i="5"/>
  <c r="C464" i="5"/>
  <c r="H461" i="5"/>
  <c r="C461" i="5"/>
  <c r="H460" i="5"/>
  <c r="C460" i="5"/>
  <c r="C459" i="5"/>
  <c r="C458" i="5"/>
  <c r="C457" i="5"/>
  <c r="C456" i="5"/>
  <c r="C455" i="5"/>
  <c r="C454" i="5"/>
  <c r="H441" i="5"/>
  <c r="F441" i="5"/>
  <c r="D441" i="5"/>
  <c r="H440" i="5"/>
  <c r="D440" i="5"/>
  <c r="D433" i="5"/>
  <c r="C434" i="5"/>
  <c r="C433" i="5"/>
  <c r="B433" i="5"/>
  <c r="A433" i="5"/>
  <c r="H431" i="5"/>
  <c r="F431" i="5"/>
  <c r="D431" i="5"/>
  <c r="H430" i="5"/>
  <c r="D430" i="5"/>
  <c r="C423" i="5"/>
  <c r="C422" i="5"/>
  <c r="B422" i="5"/>
  <c r="A422" i="5"/>
  <c r="C421" i="5"/>
  <c r="C420" i="5"/>
  <c r="B420" i="5"/>
  <c r="A420" i="5"/>
  <c r="C419" i="5"/>
  <c r="C418" i="5"/>
  <c r="B418" i="5"/>
  <c r="A418" i="5"/>
  <c r="C417" i="5"/>
  <c r="C416" i="5"/>
  <c r="B416" i="5"/>
  <c r="A416" i="5"/>
  <c r="H414" i="5"/>
  <c r="F414" i="5"/>
  <c r="D414" i="5"/>
  <c r="H413" i="5"/>
  <c r="D413" i="5"/>
  <c r="C406" i="5"/>
  <c r="C405" i="5"/>
  <c r="B405" i="5"/>
  <c r="A405" i="5"/>
  <c r="C404" i="5"/>
  <c r="C403" i="5"/>
  <c r="B403" i="5"/>
  <c r="A403" i="5"/>
  <c r="C402" i="5"/>
  <c r="C401" i="5"/>
  <c r="B401" i="5"/>
  <c r="A401" i="5"/>
  <c r="H399" i="5"/>
  <c r="F399" i="5"/>
  <c r="D399" i="5"/>
  <c r="H398" i="5"/>
  <c r="D398" i="5"/>
  <c r="C391" i="5"/>
  <c r="C390" i="5"/>
  <c r="B390" i="5"/>
  <c r="A390" i="5"/>
  <c r="H388" i="5"/>
  <c r="F388" i="5"/>
  <c r="D388" i="5"/>
  <c r="H387" i="5"/>
  <c r="D387" i="5"/>
  <c r="C381" i="5"/>
  <c r="C380" i="5"/>
  <c r="B380" i="5"/>
  <c r="A380" i="5"/>
  <c r="H378" i="5"/>
  <c r="F378" i="5"/>
  <c r="D378" i="5"/>
  <c r="H377" i="5"/>
  <c r="D377" i="5"/>
  <c r="C370" i="5"/>
  <c r="C369" i="5"/>
  <c r="B369" i="5"/>
  <c r="A369" i="5"/>
  <c r="D367" i="5"/>
  <c r="C368" i="5"/>
  <c r="C367" i="5"/>
  <c r="B367" i="5"/>
  <c r="A367" i="5"/>
  <c r="D365" i="5"/>
  <c r="C366" i="5"/>
  <c r="C365" i="5"/>
  <c r="B365" i="5"/>
  <c r="A365" i="5"/>
  <c r="H363" i="5"/>
  <c r="D363" i="5"/>
  <c r="H362" i="5"/>
  <c r="D362" i="5"/>
  <c r="C360" i="5"/>
  <c r="C359" i="5"/>
  <c r="B359" i="5"/>
  <c r="A359" i="5"/>
  <c r="H357" i="5"/>
  <c r="F357" i="5"/>
  <c r="D357" i="5"/>
  <c r="H356" i="5"/>
  <c r="D356" i="5"/>
  <c r="C348" i="5"/>
  <c r="C347" i="5"/>
  <c r="B347" i="5"/>
  <c r="A347" i="5"/>
  <c r="H345" i="5"/>
  <c r="F345" i="5"/>
  <c r="D345" i="5"/>
  <c r="H344" i="5"/>
  <c r="D344" i="5"/>
  <c r="C336" i="5"/>
  <c r="C335" i="5"/>
  <c r="B335" i="5"/>
  <c r="A335" i="5"/>
  <c r="A334" i="5"/>
  <c r="H326" i="5"/>
  <c r="F326" i="5"/>
  <c r="D326" i="5"/>
  <c r="H325" i="5"/>
  <c r="D325" i="5"/>
  <c r="C318" i="5"/>
  <c r="C317" i="5"/>
  <c r="B317" i="5"/>
  <c r="A317" i="5"/>
  <c r="H315" i="5"/>
  <c r="F315" i="5"/>
  <c r="D315" i="5"/>
  <c r="H314" i="5"/>
  <c r="D314" i="5"/>
  <c r="C307" i="5"/>
  <c r="C306" i="5"/>
  <c r="B306" i="5"/>
  <c r="A306" i="5"/>
  <c r="C305" i="5"/>
  <c r="B304" i="5"/>
  <c r="A304" i="5"/>
  <c r="H302" i="5"/>
  <c r="F302" i="5"/>
  <c r="D302" i="5"/>
  <c r="H301" i="5"/>
  <c r="D301" i="5"/>
  <c r="C294" i="5"/>
  <c r="C293" i="5"/>
  <c r="B293" i="5"/>
  <c r="A293" i="5"/>
  <c r="A292" i="5"/>
  <c r="H284" i="5"/>
  <c r="F284" i="5"/>
  <c r="D284" i="5"/>
  <c r="H283" i="5"/>
  <c r="D283" i="5"/>
  <c r="C276" i="5"/>
  <c r="C275" i="5"/>
  <c r="B275" i="5"/>
  <c r="A275" i="5"/>
  <c r="H273" i="5"/>
  <c r="F273" i="5"/>
  <c r="D273" i="5"/>
  <c r="H272" i="5"/>
  <c r="D272" i="5"/>
  <c r="C265" i="5"/>
  <c r="C264" i="5"/>
  <c r="B264" i="5"/>
  <c r="A264" i="5"/>
  <c r="C263" i="5"/>
  <c r="B262" i="5"/>
  <c r="A262" i="5"/>
  <c r="H260" i="5"/>
  <c r="F260" i="5"/>
  <c r="D260" i="5"/>
  <c r="H259" i="5"/>
  <c r="D259" i="5"/>
  <c r="C252" i="5"/>
  <c r="C251" i="5"/>
  <c r="B251" i="5"/>
  <c r="A251" i="5"/>
  <c r="A250" i="5"/>
  <c r="C243" i="5"/>
  <c r="C242" i="5"/>
  <c r="B242" i="5"/>
  <c r="A242" i="5"/>
  <c r="C240" i="5"/>
  <c r="C239" i="5"/>
  <c r="B239" i="5"/>
  <c r="A239" i="5"/>
  <c r="H237" i="5"/>
  <c r="F237" i="5"/>
  <c r="D237" i="5"/>
  <c r="H236" i="5"/>
  <c r="D236" i="5"/>
  <c r="C229" i="5"/>
  <c r="C228" i="5"/>
  <c r="B228" i="5"/>
  <c r="A228" i="5"/>
  <c r="C227" i="5"/>
  <c r="C226" i="5"/>
  <c r="B226" i="5"/>
  <c r="A226" i="5"/>
  <c r="H224" i="5"/>
  <c r="F224" i="5"/>
  <c r="D224" i="5"/>
  <c r="H223" i="5"/>
  <c r="D223" i="5"/>
  <c r="C216" i="5"/>
  <c r="C215" i="5"/>
  <c r="B215" i="5"/>
  <c r="A215" i="5"/>
  <c r="C214" i="5"/>
  <c r="C213" i="5"/>
  <c r="B213" i="5"/>
  <c r="A213" i="5"/>
  <c r="H211" i="5"/>
  <c r="F211" i="5"/>
  <c r="D211" i="5"/>
  <c r="H210" i="5"/>
  <c r="D210" i="5"/>
  <c r="C203" i="5"/>
  <c r="C202" i="5"/>
  <c r="B202" i="5"/>
  <c r="A202" i="5"/>
  <c r="H200" i="5"/>
  <c r="F200" i="5"/>
  <c r="D200" i="5"/>
  <c r="H199" i="5"/>
  <c r="D199" i="5"/>
  <c r="C192" i="5"/>
  <c r="C191" i="5"/>
  <c r="B191" i="5"/>
  <c r="A191" i="5"/>
  <c r="A190" i="5"/>
  <c r="C183" i="5"/>
  <c r="C182" i="5"/>
  <c r="B182" i="5"/>
  <c r="A182" i="5"/>
  <c r="C181" i="5"/>
  <c r="B180" i="5"/>
  <c r="A180" i="5"/>
  <c r="H178" i="5"/>
  <c r="F178" i="5"/>
  <c r="D178" i="5"/>
  <c r="H177" i="5"/>
  <c r="D177" i="5"/>
  <c r="C169" i="5"/>
  <c r="C168" i="5"/>
  <c r="B168" i="5"/>
  <c r="A168" i="5"/>
  <c r="C167" i="5"/>
  <c r="C166" i="5"/>
  <c r="B166" i="5"/>
  <c r="A166" i="5"/>
  <c r="C165" i="5"/>
  <c r="B164" i="5"/>
  <c r="A164" i="5"/>
  <c r="H162" i="5"/>
  <c r="F162" i="5"/>
  <c r="D162" i="5"/>
  <c r="H161" i="5"/>
  <c r="D161" i="5"/>
  <c r="C154" i="5"/>
  <c r="C153" i="5"/>
  <c r="B153" i="5"/>
  <c r="A153" i="5"/>
  <c r="H151" i="5"/>
  <c r="F151" i="5"/>
  <c r="D151" i="5"/>
  <c r="H150" i="5"/>
  <c r="D150" i="5"/>
  <c r="C143" i="5"/>
  <c r="C142" i="5"/>
  <c r="B142" i="5"/>
  <c r="A142" i="5"/>
  <c r="H140" i="5"/>
  <c r="F140" i="5"/>
  <c r="D140" i="5"/>
  <c r="H139" i="5"/>
  <c r="D139" i="5"/>
  <c r="C131" i="5"/>
  <c r="C130" i="5"/>
  <c r="B130" i="5"/>
  <c r="A130" i="5"/>
  <c r="H128" i="5"/>
  <c r="F128" i="5"/>
  <c r="D128" i="5"/>
  <c r="H127" i="5"/>
  <c r="D127" i="5"/>
  <c r="C120" i="5"/>
  <c r="C119" i="5"/>
  <c r="B119" i="5"/>
  <c r="A119" i="5"/>
  <c r="H117" i="5"/>
  <c r="F117" i="5"/>
  <c r="D117" i="5"/>
  <c r="H116" i="5"/>
  <c r="D116" i="5"/>
  <c r="C109" i="5"/>
  <c r="C108" i="5"/>
  <c r="B108" i="5"/>
  <c r="A108" i="5"/>
  <c r="C107" i="5"/>
  <c r="C106" i="5"/>
  <c r="B106" i="5"/>
  <c r="A106" i="5"/>
  <c r="H104" i="5"/>
  <c r="F104" i="5"/>
  <c r="D104" i="5"/>
  <c r="H103" i="5"/>
  <c r="D103" i="5"/>
  <c r="C96" i="5"/>
  <c r="C95" i="5"/>
  <c r="B95" i="5"/>
  <c r="A95" i="5"/>
  <c r="H93" i="5"/>
  <c r="F93" i="5"/>
  <c r="D93" i="5"/>
  <c r="H92" i="5"/>
  <c r="D92" i="5"/>
  <c r="C85" i="5"/>
  <c r="C84" i="5"/>
  <c r="B84" i="5"/>
  <c r="A84" i="5"/>
  <c r="C83" i="5"/>
  <c r="C82" i="5"/>
  <c r="B82" i="5"/>
  <c r="A82" i="5"/>
  <c r="H80" i="5"/>
  <c r="F80" i="5"/>
  <c r="D80" i="5"/>
  <c r="H79" i="5"/>
  <c r="D79" i="5"/>
  <c r="C72" i="5"/>
  <c r="C71" i="5"/>
  <c r="B71" i="5"/>
  <c r="A71" i="5"/>
  <c r="A70" i="5"/>
  <c r="A69" i="5"/>
  <c r="C62" i="5"/>
  <c r="C61" i="5"/>
  <c r="B61" i="5"/>
  <c r="A61" i="5"/>
  <c r="C59" i="5"/>
  <c r="C58" i="5"/>
  <c r="B58" i="5"/>
  <c r="A58" i="5"/>
  <c r="C56" i="5"/>
  <c r="C55" i="5"/>
  <c r="B55" i="5"/>
  <c r="A55" i="5"/>
  <c r="H53" i="5"/>
  <c r="F53" i="5"/>
  <c r="D53" i="5"/>
  <c r="H52" i="5"/>
  <c r="D52" i="5"/>
  <c r="D44" i="5"/>
  <c r="C45" i="5"/>
  <c r="C44" i="5"/>
  <c r="B44" i="5"/>
  <c r="A44" i="5"/>
  <c r="H42" i="5"/>
  <c r="D42" i="5"/>
  <c r="H41" i="5"/>
  <c r="D41" i="5"/>
  <c r="C39" i="5"/>
  <c r="C38" i="5"/>
  <c r="B38" i="5"/>
  <c r="A38" i="5"/>
  <c r="H36" i="5"/>
  <c r="F36" i="5"/>
  <c r="D36" i="5"/>
  <c r="H35" i="5"/>
  <c r="D35" i="5"/>
  <c r="C33" i="5"/>
  <c r="C32" i="5"/>
  <c r="B32" i="5"/>
  <c r="A32" i="5"/>
  <c r="H30" i="5"/>
  <c r="D30" i="5"/>
  <c r="H29" i="5"/>
  <c r="D29" i="5"/>
  <c r="C27" i="5"/>
  <c r="C26" i="5"/>
  <c r="B26" i="5"/>
  <c r="A26" i="5"/>
  <c r="A25" i="5"/>
  <c r="A23" i="5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1" i="3"/>
  <c r="CY1" i="3"/>
  <c r="CZ1" i="3"/>
  <c r="DB1" i="3" s="1"/>
  <c r="DA1" i="3"/>
  <c r="DC1" i="3"/>
  <c r="A2" i="3"/>
  <c r="CY2" i="3"/>
  <c r="CZ2" i="3"/>
  <c r="DA2" i="3"/>
  <c r="DB2" i="3"/>
  <c r="DC2" i="3"/>
  <c r="A3" i="3"/>
  <c r="CY3" i="3"/>
  <c r="CZ3" i="3"/>
  <c r="DB3" i="3" s="1"/>
  <c r="DA3" i="3"/>
  <c r="DC3" i="3"/>
  <c r="A4" i="3"/>
  <c r="CY4" i="3"/>
  <c r="CZ4" i="3"/>
  <c r="DA4" i="3"/>
  <c r="DB4" i="3"/>
  <c r="DC4" i="3"/>
  <c r="A5" i="3"/>
  <c r="CY5" i="3"/>
  <c r="CZ5" i="3"/>
  <c r="DB5" i="3" s="1"/>
  <c r="DA5" i="3"/>
  <c r="DC5" i="3"/>
  <c r="A6" i="3"/>
  <c r="CY6" i="3"/>
  <c r="CZ6" i="3"/>
  <c r="DA6" i="3"/>
  <c r="DB6" i="3"/>
  <c r="DC6" i="3"/>
  <c r="A7" i="3"/>
  <c r="CY7" i="3"/>
  <c r="CZ7" i="3"/>
  <c r="DB7" i="3" s="1"/>
  <c r="DA7" i="3"/>
  <c r="DC7" i="3"/>
  <c r="A8" i="3"/>
  <c r="CY8" i="3"/>
  <c r="CZ8" i="3"/>
  <c r="DA8" i="3"/>
  <c r="DB8" i="3"/>
  <c r="DC8" i="3"/>
  <c r="A9" i="3"/>
  <c r="CY9" i="3"/>
  <c r="CZ9" i="3"/>
  <c r="DB9" i="3" s="1"/>
  <c r="DA9" i="3"/>
  <c r="DC9" i="3"/>
  <c r="A10" i="3"/>
  <c r="CY10" i="3"/>
  <c r="CZ10" i="3"/>
  <c r="DA10" i="3"/>
  <c r="DB10" i="3"/>
  <c r="DC10" i="3"/>
  <c r="A11" i="3"/>
  <c r="CY11" i="3"/>
  <c r="CZ11" i="3"/>
  <c r="DB11" i="3" s="1"/>
  <c r="DA11" i="3"/>
  <c r="DC11" i="3"/>
  <c r="A12" i="3"/>
  <c r="CY12" i="3"/>
  <c r="CZ12" i="3"/>
  <c r="DA12" i="3"/>
  <c r="DB12" i="3"/>
  <c r="DC12" i="3"/>
  <c r="A13" i="3"/>
  <c r="CY13" i="3"/>
  <c r="CZ13" i="3"/>
  <c r="DB13" i="3" s="1"/>
  <c r="DA13" i="3"/>
  <c r="DC13" i="3"/>
  <c r="A14" i="3"/>
  <c r="CY14" i="3"/>
  <c r="CZ14" i="3"/>
  <c r="DA14" i="3"/>
  <c r="DB14" i="3"/>
  <c r="DC14" i="3"/>
  <c r="A15" i="3"/>
  <c r="CY15" i="3"/>
  <c r="CZ15" i="3"/>
  <c r="DB15" i="3" s="1"/>
  <c r="DA15" i="3"/>
  <c r="DC15" i="3"/>
  <c r="A16" i="3"/>
  <c r="CY16" i="3"/>
  <c r="CZ16" i="3"/>
  <c r="DA16" i="3"/>
  <c r="DB16" i="3"/>
  <c r="DC16" i="3"/>
  <c r="A17" i="3"/>
  <c r="CY17" i="3"/>
  <c r="CZ17" i="3"/>
  <c r="DB17" i="3" s="1"/>
  <c r="DA17" i="3"/>
  <c r="DC17" i="3"/>
  <c r="A18" i="3"/>
  <c r="CY18" i="3"/>
  <c r="CZ18" i="3"/>
  <c r="DA18" i="3"/>
  <c r="DB18" i="3"/>
  <c r="DC18" i="3"/>
  <c r="A19" i="3"/>
  <c r="CY19" i="3"/>
  <c r="CZ19" i="3"/>
  <c r="DB19" i="3" s="1"/>
  <c r="DA19" i="3"/>
  <c r="DC19" i="3"/>
  <c r="A20" i="3"/>
  <c r="CY20" i="3"/>
  <c r="CZ20" i="3"/>
  <c r="DA20" i="3"/>
  <c r="DB20" i="3"/>
  <c r="DC20" i="3"/>
  <c r="A21" i="3"/>
  <c r="CY21" i="3"/>
  <c r="CZ21" i="3"/>
  <c r="DB21" i="3" s="1"/>
  <c r="DA21" i="3"/>
  <c r="DC21" i="3"/>
  <c r="A22" i="3"/>
  <c r="CY22" i="3"/>
  <c r="CZ22" i="3"/>
  <c r="DA22" i="3"/>
  <c r="DB22" i="3"/>
  <c r="DC22" i="3"/>
  <c r="A23" i="3"/>
  <c r="CY23" i="3"/>
  <c r="CZ23" i="3"/>
  <c r="DB23" i="3" s="1"/>
  <c r="DA23" i="3"/>
  <c r="DC23" i="3"/>
  <c r="A24" i="3"/>
  <c r="CY24" i="3"/>
  <c r="CZ24" i="3"/>
  <c r="DA24" i="3"/>
  <c r="DB24" i="3"/>
  <c r="DC24" i="3"/>
  <c r="A25" i="3"/>
  <c r="CY25" i="3"/>
  <c r="CZ25" i="3"/>
  <c r="DB25" i="3" s="1"/>
  <c r="DA25" i="3"/>
  <c r="DC25" i="3"/>
  <c r="A26" i="3"/>
  <c r="CY26" i="3"/>
  <c r="CZ26" i="3"/>
  <c r="DA26" i="3"/>
  <c r="DB26" i="3"/>
  <c r="DC26" i="3"/>
  <c r="A27" i="3"/>
  <c r="CY27" i="3"/>
  <c r="CZ27" i="3"/>
  <c r="DB27" i="3" s="1"/>
  <c r="DA27" i="3"/>
  <c r="DC27" i="3"/>
  <c r="A28" i="3"/>
  <c r="CY28" i="3"/>
  <c r="CZ28" i="3"/>
  <c r="DA28" i="3"/>
  <c r="DB28" i="3"/>
  <c r="DC28" i="3"/>
  <c r="A29" i="3"/>
  <c r="CY29" i="3"/>
  <c r="CZ29" i="3"/>
  <c r="DB29" i="3" s="1"/>
  <c r="DA29" i="3"/>
  <c r="DC29" i="3"/>
  <c r="A30" i="3"/>
  <c r="CY30" i="3"/>
  <c r="CZ30" i="3"/>
  <c r="DA30" i="3"/>
  <c r="DB30" i="3"/>
  <c r="DC30" i="3"/>
  <c r="A31" i="3"/>
  <c r="CY31" i="3"/>
  <c r="CZ31" i="3"/>
  <c r="DB31" i="3" s="1"/>
  <c r="DA31" i="3"/>
  <c r="DC31" i="3"/>
  <c r="A32" i="3"/>
  <c r="CY32" i="3"/>
  <c r="CZ32" i="3"/>
  <c r="DA32" i="3"/>
  <c r="DB32" i="3"/>
  <c r="DC32" i="3"/>
  <c r="A33" i="3"/>
  <c r="CY33" i="3"/>
  <c r="CZ33" i="3"/>
  <c r="DB33" i="3" s="1"/>
  <c r="DA33" i="3"/>
  <c r="DC33" i="3"/>
  <c r="A34" i="3"/>
  <c r="CY34" i="3"/>
  <c r="CZ34" i="3"/>
  <c r="DA34" i="3"/>
  <c r="DB34" i="3"/>
  <c r="DC34" i="3"/>
  <c r="A35" i="3"/>
  <c r="CY35" i="3"/>
  <c r="CZ35" i="3"/>
  <c r="DB35" i="3" s="1"/>
  <c r="DA35" i="3"/>
  <c r="DC35" i="3"/>
  <c r="A36" i="3"/>
  <c r="CY36" i="3"/>
  <c r="CZ36" i="3"/>
  <c r="DA36" i="3"/>
  <c r="DB36" i="3"/>
  <c r="DC36" i="3"/>
  <c r="A37" i="3"/>
  <c r="CY37" i="3"/>
  <c r="CZ37" i="3"/>
  <c r="DB37" i="3" s="1"/>
  <c r="DA37" i="3"/>
  <c r="DC37" i="3"/>
  <c r="A38" i="3"/>
  <c r="CY38" i="3"/>
  <c r="CZ38" i="3"/>
  <c r="DA38" i="3"/>
  <c r="DB38" i="3"/>
  <c r="DC38" i="3"/>
  <c r="A39" i="3"/>
  <c r="CY39" i="3"/>
  <c r="CZ39" i="3"/>
  <c r="DB39" i="3" s="1"/>
  <c r="DA39" i="3"/>
  <c r="DC39" i="3"/>
  <c r="A40" i="3"/>
  <c r="CY40" i="3"/>
  <c r="CZ40" i="3"/>
  <c r="DA40" i="3"/>
  <c r="DB40" i="3"/>
  <c r="DC40" i="3"/>
  <c r="A41" i="3"/>
  <c r="CY41" i="3"/>
  <c r="CZ41" i="3"/>
  <c r="DB41" i="3" s="1"/>
  <c r="DA41" i="3"/>
  <c r="DC41" i="3"/>
  <c r="A42" i="3"/>
  <c r="CY42" i="3"/>
  <c r="CZ42" i="3"/>
  <c r="DA42" i="3"/>
  <c r="DB42" i="3"/>
  <c r="DC42" i="3"/>
  <c r="A43" i="3"/>
  <c r="CY43" i="3"/>
  <c r="CZ43" i="3"/>
  <c r="DB43" i="3" s="1"/>
  <c r="DA43" i="3"/>
  <c r="DC43" i="3"/>
  <c r="A44" i="3"/>
  <c r="CY44" i="3"/>
  <c r="CZ44" i="3"/>
  <c r="DA44" i="3"/>
  <c r="DB44" i="3"/>
  <c r="DC44" i="3"/>
  <c r="A45" i="3"/>
  <c r="CY45" i="3"/>
  <c r="CZ45" i="3"/>
  <c r="DB45" i="3" s="1"/>
  <c r="DA45" i="3"/>
  <c r="DC45" i="3"/>
  <c r="A46" i="3"/>
  <c r="CY46" i="3"/>
  <c r="CZ46" i="3"/>
  <c r="DA46" i="3"/>
  <c r="DB46" i="3"/>
  <c r="DC46" i="3"/>
  <c r="A47" i="3"/>
  <c r="CY47" i="3"/>
  <c r="CZ47" i="3"/>
  <c r="DB47" i="3" s="1"/>
  <c r="DA47" i="3"/>
  <c r="DC47" i="3"/>
  <c r="A48" i="3"/>
  <c r="CY48" i="3"/>
  <c r="CZ48" i="3"/>
  <c r="DA48" i="3"/>
  <c r="DB48" i="3"/>
  <c r="DC48" i="3"/>
  <c r="A49" i="3"/>
  <c r="CY49" i="3"/>
  <c r="CZ49" i="3"/>
  <c r="DB49" i="3" s="1"/>
  <c r="DA49" i="3"/>
  <c r="DC49" i="3"/>
  <c r="A50" i="3"/>
  <c r="CY50" i="3"/>
  <c r="CZ50" i="3"/>
  <c r="DA50" i="3"/>
  <c r="DB50" i="3"/>
  <c r="DC50" i="3"/>
  <c r="A51" i="3"/>
  <c r="CY51" i="3"/>
  <c r="CZ51" i="3"/>
  <c r="DB51" i="3" s="1"/>
  <c r="DA51" i="3"/>
  <c r="DC51" i="3"/>
  <c r="A52" i="3"/>
  <c r="CY52" i="3"/>
  <c r="CZ52" i="3"/>
  <c r="DA52" i="3"/>
  <c r="DB52" i="3"/>
  <c r="DC52" i="3"/>
  <c r="A53" i="3"/>
  <c r="CY53" i="3"/>
  <c r="CZ53" i="3"/>
  <c r="DB53" i="3" s="1"/>
  <c r="DA53" i="3"/>
  <c r="DC53" i="3"/>
  <c r="A54" i="3"/>
  <c r="CY54" i="3"/>
  <c r="CZ54" i="3"/>
  <c r="DA54" i="3"/>
  <c r="DB54" i="3"/>
  <c r="DC54" i="3"/>
  <c r="A55" i="3"/>
  <c r="CY55" i="3"/>
  <c r="CZ55" i="3"/>
  <c r="DB55" i="3" s="1"/>
  <c r="DA55" i="3"/>
  <c r="DC55" i="3"/>
  <c r="A56" i="3"/>
  <c r="CY56" i="3"/>
  <c r="CZ56" i="3"/>
  <c r="DA56" i="3"/>
  <c r="DB56" i="3"/>
  <c r="DC56" i="3"/>
  <c r="A57" i="3"/>
  <c r="CY57" i="3"/>
  <c r="CZ57" i="3"/>
  <c r="DB57" i="3" s="1"/>
  <c r="DA57" i="3"/>
  <c r="DC57" i="3"/>
  <c r="A58" i="3"/>
  <c r="CY58" i="3"/>
  <c r="CZ58" i="3"/>
  <c r="DA58" i="3"/>
  <c r="DB58" i="3"/>
  <c r="DC58" i="3"/>
  <c r="A59" i="3"/>
  <c r="CY59" i="3"/>
  <c r="CZ59" i="3"/>
  <c r="DB59" i="3" s="1"/>
  <c r="DA59" i="3"/>
  <c r="DC59" i="3"/>
  <c r="A60" i="3"/>
  <c r="CY60" i="3"/>
  <c r="CZ60" i="3"/>
  <c r="DA60" i="3"/>
  <c r="DB60" i="3"/>
  <c r="DC60" i="3"/>
  <c r="A61" i="3"/>
  <c r="CY61" i="3"/>
  <c r="CZ61" i="3"/>
  <c r="DB61" i="3" s="1"/>
  <c r="DA61" i="3"/>
  <c r="DC61" i="3"/>
  <c r="A62" i="3"/>
  <c r="CY62" i="3"/>
  <c r="CZ62" i="3"/>
  <c r="DA62" i="3"/>
  <c r="DB62" i="3"/>
  <c r="DC62" i="3"/>
  <c r="A63" i="3"/>
  <c r="CY63" i="3"/>
  <c r="CZ63" i="3"/>
  <c r="DB63" i="3" s="1"/>
  <c r="DA63" i="3"/>
  <c r="DC63" i="3"/>
  <c r="A64" i="3"/>
  <c r="CY64" i="3"/>
  <c r="CZ64" i="3"/>
  <c r="DA64" i="3"/>
  <c r="DB64" i="3"/>
  <c r="DC64" i="3"/>
  <c r="A65" i="3"/>
  <c r="CY65" i="3"/>
  <c r="CZ65" i="3"/>
  <c r="DB65" i="3" s="1"/>
  <c r="DA65" i="3"/>
  <c r="DC65" i="3"/>
  <c r="A66" i="3"/>
  <c r="CY66" i="3"/>
  <c r="CZ66" i="3"/>
  <c r="DA66" i="3"/>
  <c r="DB66" i="3"/>
  <c r="DC66" i="3"/>
  <c r="A67" i="3"/>
  <c r="CY67" i="3"/>
  <c r="CZ67" i="3"/>
  <c r="DB67" i="3" s="1"/>
  <c r="DA67" i="3"/>
  <c r="DC67" i="3"/>
  <c r="A68" i="3"/>
  <c r="CY68" i="3"/>
  <c r="CZ68" i="3"/>
  <c r="DA68" i="3"/>
  <c r="DB68" i="3"/>
  <c r="DC68" i="3"/>
  <c r="A69" i="3"/>
  <c r="CY69" i="3"/>
  <c r="CZ69" i="3"/>
  <c r="DB69" i="3" s="1"/>
  <c r="DA69" i="3"/>
  <c r="DC69" i="3"/>
  <c r="A70" i="3"/>
  <c r="CY70" i="3"/>
  <c r="CZ70" i="3"/>
  <c r="DA70" i="3"/>
  <c r="DB70" i="3"/>
  <c r="DC70" i="3"/>
  <c r="A71" i="3"/>
  <c r="CY71" i="3"/>
  <c r="CZ71" i="3"/>
  <c r="DB71" i="3" s="1"/>
  <c r="DA71" i="3"/>
  <c r="DC71" i="3"/>
  <c r="A72" i="3"/>
  <c r="CY72" i="3"/>
  <c r="CZ72" i="3"/>
  <c r="DA72" i="3"/>
  <c r="DB72" i="3"/>
  <c r="DC72" i="3"/>
  <c r="A73" i="3"/>
  <c r="CY73" i="3"/>
  <c r="CZ73" i="3"/>
  <c r="DB73" i="3" s="1"/>
  <c r="DA73" i="3"/>
  <c r="DC73" i="3"/>
  <c r="A74" i="3"/>
  <c r="CY74" i="3"/>
  <c r="CZ74" i="3"/>
  <c r="DA74" i="3"/>
  <c r="DB74" i="3"/>
  <c r="DC74" i="3"/>
  <c r="A75" i="3"/>
  <c r="CY75" i="3"/>
  <c r="CZ75" i="3"/>
  <c r="DB75" i="3" s="1"/>
  <c r="DA75" i="3"/>
  <c r="DC75" i="3"/>
  <c r="A76" i="3"/>
  <c r="CY76" i="3"/>
  <c r="CZ76" i="3"/>
  <c r="DA76" i="3"/>
  <c r="DB76" i="3"/>
  <c r="DC76" i="3"/>
  <c r="A77" i="3"/>
  <c r="CY77" i="3"/>
  <c r="CZ77" i="3"/>
  <c r="DB77" i="3" s="1"/>
  <c r="DA77" i="3"/>
  <c r="DC77" i="3"/>
  <c r="A78" i="3"/>
  <c r="CY78" i="3"/>
  <c r="CZ78" i="3"/>
  <c r="DA78" i="3"/>
  <c r="DB78" i="3"/>
  <c r="DC78" i="3"/>
  <c r="A79" i="3"/>
  <c r="CY79" i="3"/>
  <c r="CZ79" i="3"/>
  <c r="DB79" i="3" s="1"/>
  <c r="DA79" i="3"/>
  <c r="DC79" i="3"/>
  <c r="A80" i="3"/>
  <c r="CY80" i="3"/>
  <c r="CZ80" i="3"/>
  <c r="DA80" i="3"/>
  <c r="DB80" i="3"/>
  <c r="DC80" i="3"/>
  <c r="A81" i="3"/>
  <c r="CY81" i="3"/>
  <c r="CZ81" i="3"/>
  <c r="DB81" i="3" s="1"/>
  <c r="DA81" i="3"/>
  <c r="DC81" i="3"/>
  <c r="A82" i="3"/>
  <c r="CY82" i="3"/>
  <c r="CZ82" i="3"/>
  <c r="DA82" i="3"/>
  <c r="DB82" i="3"/>
  <c r="DC82" i="3"/>
  <c r="A83" i="3"/>
  <c r="CY83" i="3"/>
  <c r="CZ83" i="3"/>
  <c r="DB83" i="3" s="1"/>
  <c r="DA83" i="3"/>
  <c r="DC83" i="3"/>
  <c r="A84" i="3"/>
  <c r="CY84" i="3"/>
  <c r="CZ84" i="3"/>
  <c r="DA84" i="3"/>
  <c r="DB84" i="3"/>
  <c r="DC84" i="3"/>
  <c r="A85" i="3"/>
  <c r="CY85" i="3"/>
  <c r="CZ85" i="3"/>
  <c r="DB85" i="3" s="1"/>
  <c r="DA85" i="3"/>
  <c r="DC85" i="3"/>
  <c r="A86" i="3"/>
  <c r="CY86" i="3"/>
  <c r="CZ86" i="3"/>
  <c r="DA86" i="3"/>
  <c r="DB86" i="3"/>
  <c r="DC86" i="3"/>
  <c r="A87" i="3"/>
  <c r="CY87" i="3"/>
  <c r="CZ87" i="3"/>
  <c r="DB87" i="3" s="1"/>
  <c r="DA87" i="3"/>
  <c r="DC87" i="3"/>
  <c r="A88" i="3"/>
  <c r="CY88" i="3"/>
  <c r="CZ88" i="3"/>
  <c r="DA88" i="3"/>
  <c r="DB88" i="3"/>
  <c r="DC88" i="3"/>
  <c r="A89" i="3"/>
  <c r="CY89" i="3"/>
  <c r="CZ89" i="3"/>
  <c r="DB89" i="3" s="1"/>
  <c r="DA89" i="3"/>
  <c r="DC89" i="3"/>
  <c r="A90" i="3"/>
  <c r="CY90" i="3"/>
  <c r="CZ90" i="3"/>
  <c r="DA90" i="3"/>
  <c r="DB90" i="3"/>
  <c r="DC90" i="3"/>
  <c r="A91" i="3"/>
  <c r="CY91" i="3"/>
  <c r="CZ91" i="3"/>
  <c r="DB91" i="3" s="1"/>
  <c r="DA91" i="3"/>
  <c r="DC91" i="3"/>
  <c r="A92" i="3"/>
  <c r="CY92" i="3"/>
  <c r="CZ92" i="3"/>
  <c r="DA92" i="3"/>
  <c r="DB92" i="3"/>
  <c r="DC92" i="3"/>
  <c r="A93" i="3"/>
  <c r="CY93" i="3"/>
  <c r="CZ93" i="3"/>
  <c r="DB93" i="3" s="1"/>
  <c r="DA93" i="3"/>
  <c r="DC93" i="3"/>
  <c r="A94" i="3"/>
  <c r="CY94" i="3"/>
  <c r="CZ94" i="3"/>
  <c r="DA94" i="3"/>
  <c r="DB94" i="3"/>
  <c r="DC94" i="3"/>
  <c r="A95" i="3"/>
  <c r="CY95" i="3"/>
  <c r="CZ95" i="3"/>
  <c r="DB95" i="3" s="1"/>
  <c r="DA95" i="3"/>
  <c r="DC95" i="3"/>
  <c r="A96" i="3"/>
  <c r="CY96" i="3"/>
  <c r="CZ96" i="3"/>
  <c r="DA96" i="3"/>
  <c r="DB96" i="3"/>
  <c r="DC96" i="3"/>
  <c r="A97" i="3"/>
  <c r="CY97" i="3"/>
  <c r="CZ97" i="3"/>
  <c r="DB97" i="3" s="1"/>
  <c r="DA97" i="3"/>
  <c r="DC97" i="3"/>
  <c r="A98" i="3"/>
  <c r="CY98" i="3"/>
  <c r="CZ98" i="3"/>
  <c r="DA98" i="3"/>
  <c r="DB98" i="3"/>
  <c r="DC98" i="3"/>
  <c r="A99" i="3"/>
  <c r="CY99" i="3"/>
  <c r="CZ99" i="3"/>
  <c r="DB99" i="3" s="1"/>
  <c r="DA99" i="3"/>
  <c r="DC99" i="3"/>
  <c r="A100" i="3"/>
  <c r="CY100" i="3"/>
  <c r="CZ100" i="3"/>
  <c r="DA100" i="3"/>
  <c r="DB100" i="3"/>
  <c r="DC100" i="3"/>
  <c r="A101" i="3"/>
  <c r="CY101" i="3"/>
  <c r="CZ101" i="3"/>
  <c r="DB101" i="3" s="1"/>
  <c r="DA101" i="3"/>
  <c r="DC101" i="3"/>
  <c r="A102" i="3"/>
  <c r="CY102" i="3"/>
  <c r="CZ102" i="3"/>
  <c r="DA102" i="3"/>
  <c r="DB102" i="3"/>
  <c r="DC102" i="3"/>
  <c r="A103" i="3"/>
  <c r="CY103" i="3"/>
  <c r="CZ103" i="3"/>
  <c r="DB103" i="3" s="1"/>
  <c r="DA103" i="3"/>
  <c r="DC103" i="3"/>
  <c r="A104" i="3"/>
  <c r="CY104" i="3"/>
  <c r="CZ104" i="3"/>
  <c r="DA104" i="3"/>
  <c r="DB104" i="3"/>
  <c r="DC104" i="3"/>
  <c r="A105" i="3"/>
  <c r="CY105" i="3"/>
  <c r="CZ105" i="3"/>
  <c r="DB105" i="3" s="1"/>
  <c r="DA105" i="3"/>
  <c r="DC105" i="3"/>
  <c r="A106" i="3"/>
  <c r="CY106" i="3"/>
  <c r="CZ106" i="3"/>
  <c r="DA106" i="3"/>
  <c r="DB106" i="3"/>
  <c r="DC106" i="3"/>
  <c r="A107" i="3"/>
  <c r="CY107" i="3"/>
  <c r="CZ107" i="3"/>
  <c r="DB107" i="3" s="1"/>
  <c r="DA107" i="3"/>
  <c r="DC107" i="3"/>
  <c r="A108" i="3"/>
  <c r="CY108" i="3"/>
  <c r="CZ108" i="3"/>
  <c r="DA108" i="3"/>
  <c r="DB108" i="3"/>
  <c r="DC108" i="3"/>
  <c r="A109" i="3"/>
  <c r="CY109" i="3"/>
  <c r="CZ109" i="3"/>
  <c r="DB109" i="3" s="1"/>
  <c r="DA109" i="3"/>
  <c r="DC109" i="3"/>
  <c r="A110" i="3"/>
  <c r="CY110" i="3"/>
  <c r="CZ110" i="3"/>
  <c r="DA110" i="3"/>
  <c r="DB110" i="3"/>
  <c r="DC110" i="3"/>
  <c r="A111" i="3"/>
  <c r="CY111" i="3"/>
  <c r="CZ111" i="3"/>
  <c r="DB111" i="3" s="1"/>
  <c r="DA111" i="3"/>
  <c r="DC111" i="3"/>
  <c r="A112" i="3"/>
  <c r="CY112" i="3"/>
  <c r="CZ112" i="3"/>
  <c r="DA112" i="3"/>
  <c r="DB112" i="3"/>
  <c r="DC112" i="3"/>
  <c r="A113" i="3"/>
  <c r="CY113" i="3"/>
  <c r="CZ113" i="3"/>
  <c r="DB113" i="3" s="1"/>
  <c r="DA113" i="3"/>
  <c r="DC113" i="3"/>
  <c r="A114" i="3"/>
  <c r="CY114" i="3"/>
  <c r="CZ114" i="3"/>
  <c r="DA114" i="3"/>
  <c r="DB114" i="3"/>
  <c r="DC114" i="3"/>
  <c r="A115" i="3"/>
  <c r="CY115" i="3"/>
  <c r="CZ115" i="3"/>
  <c r="DB115" i="3" s="1"/>
  <c r="DA115" i="3"/>
  <c r="DC115" i="3"/>
  <c r="A116" i="3"/>
  <c r="CY116" i="3"/>
  <c r="CZ116" i="3"/>
  <c r="DA116" i="3"/>
  <c r="DB116" i="3"/>
  <c r="DC116" i="3"/>
  <c r="A117" i="3"/>
  <c r="CY117" i="3"/>
  <c r="CZ117" i="3"/>
  <c r="DB117" i="3" s="1"/>
  <c r="DA117" i="3"/>
  <c r="DC117" i="3"/>
  <c r="A118" i="3"/>
  <c r="CY118" i="3"/>
  <c r="CZ118" i="3"/>
  <c r="DA118" i="3"/>
  <c r="DB118" i="3"/>
  <c r="DC118" i="3"/>
  <c r="A119" i="3"/>
  <c r="CY119" i="3"/>
  <c r="CZ119" i="3"/>
  <c r="DB119" i="3" s="1"/>
  <c r="DA119" i="3"/>
  <c r="DC119" i="3"/>
  <c r="A120" i="3"/>
  <c r="CY120" i="3"/>
  <c r="CZ120" i="3"/>
  <c r="DA120" i="3"/>
  <c r="DB120" i="3"/>
  <c r="DC120" i="3"/>
  <c r="A121" i="3"/>
  <c r="CY121" i="3"/>
  <c r="CZ121" i="3"/>
  <c r="DB121" i="3" s="1"/>
  <c r="DA121" i="3"/>
  <c r="DC121" i="3"/>
  <c r="A122" i="3"/>
  <c r="CY122" i="3"/>
  <c r="CZ122" i="3"/>
  <c r="DA122" i="3"/>
  <c r="DB122" i="3"/>
  <c r="DC122" i="3"/>
  <c r="A123" i="3"/>
  <c r="CY123" i="3"/>
  <c r="CZ123" i="3"/>
  <c r="DB123" i="3" s="1"/>
  <c r="DA123" i="3"/>
  <c r="DC123" i="3"/>
  <c r="A124" i="3"/>
  <c r="CY124" i="3"/>
  <c r="CZ124" i="3"/>
  <c r="DA124" i="3"/>
  <c r="DB124" i="3"/>
  <c r="DC124" i="3"/>
  <c r="A125" i="3"/>
  <c r="CY125" i="3"/>
  <c r="CZ125" i="3"/>
  <c r="DB125" i="3" s="1"/>
  <c r="DA125" i="3"/>
  <c r="DC125" i="3"/>
  <c r="A126" i="3"/>
  <c r="CY126" i="3"/>
  <c r="CZ126" i="3"/>
  <c r="DA126" i="3"/>
  <c r="DB126" i="3"/>
  <c r="DC126" i="3"/>
  <c r="A127" i="3"/>
  <c r="CY127" i="3"/>
  <c r="CZ127" i="3"/>
  <c r="DB127" i="3" s="1"/>
  <c r="DA127" i="3"/>
  <c r="DC127" i="3"/>
  <c r="A128" i="3"/>
  <c r="CY128" i="3"/>
  <c r="CZ128" i="3"/>
  <c r="DA128" i="3"/>
  <c r="DB128" i="3"/>
  <c r="DC128" i="3"/>
  <c r="A129" i="3"/>
  <c r="CY129" i="3"/>
  <c r="CZ129" i="3"/>
  <c r="DB129" i="3" s="1"/>
  <c r="DA129" i="3"/>
  <c r="DC129" i="3"/>
  <c r="A130" i="3"/>
  <c r="CY130" i="3"/>
  <c r="CZ130" i="3"/>
  <c r="DA130" i="3"/>
  <c r="DB130" i="3"/>
  <c r="DC130" i="3"/>
  <c r="A131" i="3"/>
  <c r="CY131" i="3"/>
  <c r="CZ131" i="3"/>
  <c r="DB131" i="3" s="1"/>
  <c r="DA131" i="3"/>
  <c r="DC131" i="3"/>
  <c r="A132" i="3"/>
  <c r="CY132" i="3"/>
  <c r="CZ132" i="3"/>
  <c r="DA132" i="3"/>
  <c r="DB132" i="3"/>
  <c r="DC132" i="3"/>
  <c r="A133" i="3"/>
  <c r="CY133" i="3"/>
  <c r="CZ133" i="3"/>
  <c r="DB133" i="3" s="1"/>
  <c r="DA133" i="3"/>
  <c r="DC133" i="3"/>
  <c r="A134" i="3"/>
  <c r="CY134" i="3"/>
  <c r="CZ134" i="3"/>
  <c r="DA134" i="3"/>
  <c r="DB134" i="3"/>
  <c r="DC134" i="3"/>
  <c r="A135" i="3"/>
  <c r="CY135" i="3"/>
  <c r="CZ135" i="3"/>
  <c r="DB135" i="3" s="1"/>
  <c r="DA135" i="3"/>
  <c r="DC135" i="3"/>
  <c r="A136" i="3"/>
  <c r="CY136" i="3"/>
  <c r="CZ136" i="3"/>
  <c r="DA136" i="3"/>
  <c r="DB136" i="3"/>
  <c r="DC136" i="3"/>
  <c r="A137" i="3"/>
  <c r="CY137" i="3"/>
  <c r="CZ137" i="3"/>
  <c r="DB137" i="3" s="1"/>
  <c r="DA137" i="3"/>
  <c r="DC137" i="3"/>
  <c r="A138" i="3"/>
  <c r="CY138" i="3"/>
  <c r="CZ138" i="3"/>
  <c r="DA138" i="3"/>
  <c r="DB138" i="3"/>
  <c r="DC138" i="3"/>
  <c r="A139" i="3"/>
  <c r="CY139" i="3"/>
  <c r="CZ139" i="3"/>
  <c r="DB139" i="3" s="1"/>
  <c r="DA139" i="3"/>
  <c r="DC139" i="3"/>
  <c r="A140" i="3"/>
  <c r="CY140" i="3"/>
  <c r="CZ140" i="3"/>
  <c r="DA140" i="3"/>
  <c r="DB140" i="3"/>
  <c r="DC140" i="3"/>
  <c r="A141" i="3"/>
  <c r="CY141" i="3"/>
  <c r="CZ141" i="3"/>
  <c r="DB141" i="3" s="1"/>
  <c r="DA141" i="3"/>
  <c r="DC141" i="3"/>
  <c r="A142" i="3"/>
  <c r="CY142" i="3"/>
  <c r="CZ142" i="3"/>
  <c r="DA142" i="3"/>
  <c r="DB142" i="3"/>
  <c r="DC142" i="3"/>
  <c r="A143" i="3"/>
  <c r="CY143" i="3"/>
  <c r="CZ143" i="3"/>
  <c r="DB143" i="3" s="1"/>
  <c r="DA143" i="3"/>
  <c r="DC143" i="3"/>
  <c r="A144" i="3"/>
  <c r="CY144" i="3"/>
  <c r="CZ144" i="3"/>
  <c r="DA144" i="3"/>
  <c r="DB144" i="3"/>
  <c r="DC144" i="3"/>
  <c r="A145" i="3"/>
  <c r="CY145" i="3"/>
  <c r="CZ145" i="3"/>
  <c r="DB145" i="3" s="1"/>
  <c r="DA145" i="3"/>
  <c r="DC145" i="3"/>
  <c r="A146" i="3"/>
  <c r="CY146" i="3"/>
  <c r="CZ146" i="3"/>
  <c r="DA146" i="3"/>
  <c r="DB146" i="3"/>
  <c r="DC146" i="3"/>
  <c r="A147" i="3"/>
  <c r="CY147" i="3"/>
  <c r="CZ147" i="3"/>
  <c r="DB147" i="3" s="1"/>
  <c r="DA147" i="3"/>
  <c r="DC147" i="3"/>
  <c r="A148" i="3"/>
  <c r="CY148" i="3"/>
  <c r="CZ148" i="3"/>
  <c r="DA148" i="3"/>
  <c r="DB148" i="3"/>
  <c r="DC148" i="3"/>
  <c r="A149" i="3"/>
  <c r="CY149" i="3"/>
  <c r="CZ149" i="3"/>
  <c r="DB149" i="3" s="1"/>
  <c r="DA149" i="3"/>
  <c r="DC149" i="3"/>
  <c r="A150" i="3"/>
  <c r="CY150" i="3"/>
  <c r="CZ150" i="3"/>
  <c r="DA150" i="3"/>
  <c r="DB150" i="3"/>
  <c r="DC150" i="3"/>
  <c r="A151" i="3"/>
  <c r="CY151" i="3"/>
  <c r="CZ151" i="3"/>
  <c r="DB151" i="3" s="1"/>
  <c r="DA151" i="3"/>
  <c r="DC151" i="3"/>
  <c r="A152" i="3"/>
  <c r="CY152" i="3"/>
  <c r="CZ152" i="3"/>
  <c r="DA152" i="3"/>
  <c r="DB152" i="3"/>
  <c r="DC152" i="3"/>
  <c r="A153" i="3"/>
  <c r="CY153" i="3"/>
  <c r="CZ153" i="3"/>
  <c r="DB153" i="3" s="1"/>
  <c r="DA153" i="3"/>
  <c r="DC153" i="3"/>
  <c r="A154" i="3"/>
  <c r="CY154" i="3"/>
  <c r="CZ154" i="3"/>
  <c r="DA154" i="3"/>
  <c r="DB154" i="3"/>
  <c r="DC154" i="3"/>
  <c r="A155" i="3"/>
  <c r="CY155" i="3"/>
  <c r="CZ155" i="3"/>
  <c r="DB155" i="3" s="1"/>
  <c r="DA155" i="3"/>
  <c r="DC155" i="3"/>
  <c r="A156" i="3"/>
  <c r="CY156" i="3"/>
  <c r="CZ156" i="3"/>
  <c r="DA156" i="3"/>
  <c r="DB156" i="3"/>
  <c r="DC156" i="3"/>
  <c r="A157" i="3"/>
  <c r="CY157" i="3"/>
  <c r="CZ157" i="3"/>
  <c r="DB157" i="3" s="1"/>
  <c r="DA157" i="3"/>
  <c r="DC157" i="3"/>
  <c r="A158" i="3"/>
  <c r="CY158" i="3"/>
  <c r="CZ158" i="3"/>
  <c r="DA158" i="3"/>
  <c r="DB158" i="3"/>
  <c r="DC158" i="3"/>
  <c r="A159" i="3"/>
  <c r="CY159" i="3"/>
  <c r="CZ159" i="3"/>
  <c r="DB159" i="3" s="1"/>
  <c r="DA159" i="3"/>
  <c r="DC159" i="3"/>
  <c r="A160" i="3"/>
  <c r="CY160" i="3"/>
  <c r="CZ160" i="3"/>
  <c r="DA160" i="3"/>
  <c r="DB160" i="3"/>
  <c r="DC160" i="3"/>
  <c r="A161" i="3"/>
  <c r="CY161" i="3"/>
  <c r="CZ161" i="3"/>
  <c r="DB161" i="3" s="1"/>
  <c r="DA161" i="3"/>
  <c r="DC161" i="3"/>
  <c r="A162" i="3"/>
  <c r="CY162" i="3"/>
  <c r="CZ162" i="3"/>
  <c r="DA162" i="3"/>
  <c r="DB162" i="3"/>
  <c r="DC162" i="3"/>
  <c r="A163" i="3"/>
  <c r="CY163" i="3"/>
  <c r="CZ163" i="3"/>
  <c r="DB163" i="3" s="1"/>
  <c r="DA163" i="3"/>
  <c r="DC163" i="3"/>
  <c r="A164" i="3"/>
  <c r="CY164" i="3"/>
  <c r="CZ164" i="3"/>
  <c r="DA164" i="3"/>
  <c r="DB164" i="3"/>
  <c r="DC164" i="3"/>
  <c r="A165" i="3"/>
  <c r="CY165" i="3"/>
  <c r="CZ165" i="3"/>
  <c r="DB165" i="3" s="1"/>
  <c r="DA165" i="3"/>
  <c r="DC165" i="3"/>
  <c r="A166" i="3"/>
  <c r="CY166" i="3"/>
  <c r="CZ166" i="3"/>
  <c r="DA166" i="3"/>
  <c r="DB166" i="3"/>
  <c r="DC166" i="3"/>
  <c r="A167" i="3"/>
  <c r="CY167" i="3"/>
  <c r="CZ167" i="3"/>
  <c r="DB167" i="3" s="1"/>
  <c r="DA167" i="3"/>
  <c r="DC167" i="3"/>
  <c r="A168" i="3"/>
  <c r="CY168" i="3"/>
  <c r="CZ168" i="3"/>
  <c r="DA168" i="3"/>
  <c r="DB168" i="3"/>
  <c r="DC168" i="3"/>
  <c r="A169" i="3"/>
  <c r="CY169" i="3"/>
  <c r="CZ169" i="3"/>
  <c r="DB169" i="3" s="1"/>
  <c r="DA169" i="3"/>
  <c r="DC169" i="3"/>
  <c r="A170" i="3"/>
  <c r="CY170" i="3"/>
  <c r="CZ170" i="3"/>
  <c r="DA170" i="3"/>
  <c r="DB170" i="3"/>
  <c r="DC170" i="3"/>
  <c r="A171" i="3"/>
  <c r="CY171" i="3"/>
  <c r="CZ171" i="3"/>
  <c r="DB171" i="3" s="1"/>
  <c r="DA171" i="3"/>
  <c r="DC171" i="3"/>
  <c r="A172" i="3"/>
  <c r="CY172" i="3"/>
  <c r="CZ172" i="3"/>
  <c r="DA172" i="3"/>
  <c r="DB172" i="3"/>
  <c r="DC172" i="3"/>
  <c r="A173" i="3"/>
  <c r="CY173" i="3"/>
  <c r="CZ173" i="3"/>
  <c r="DB173" i="3" s="1"/>
  <c r="DA173" i="3"/>
  <c r="DC173" i="3"/>
  <c r="A174" i="3"/>
  <c r="CY174" i="3"/>
  <c r="CZ174" i="3"/>
  <c r="DA174" i="3"/>
  <c r="DB174" i="3"/>
  <c r="DC174" i="3"/>
  <c r="A175" i="3"/>
  <c r="CY175" i="3"/>
  <c r="CZ175" i="3"/>
  <c r="DB175" i="3" s="1"/>
  <c r="DA175" i="3"/>
  <c r="DC175" i="3"/>
  <c r="A176" i="3"/>
  <c r="CY176" i="3"/>
  <c r="CZ176" i="3"/>
  <c r="DA176" i="3"/>
  <c r="DB176" i="3"/>
  <c r="DC176" i="3"/>
  <c r="A177" i="3"/>
  <c r="CY177" i="3"/>
  <c r="CZ177" i="3"/>
  <c r="DB177" i="3" s="1"/>
  <c r="DA177" i="3"/>
  <c r="DC177" i="3"/>
  <c r="A178" i="3"/>
  <c r="CY178" i="3"/>
  <c r="CZ178" i="3"/>
  <c r="DA178" i="3"/>
  <c r="DB178" i="3"/>
  <c r="DC178" i="3"/>
  <c r="A179" i="3"/>
  <c r="CY179" i="3"/>
  <c r="CZ179" i="3"/>
  <c r="DB179" i="3" s="1"/>
  <c r="DA179" i="3"/>
  <c r="DC179" i="3"/>
  <c r="A180" i="3"/>
  <c r="CY180" i="3"/>
  <c r="CZ180" i="3"/>
  <c r="DA180" i="3"/>
  <c r="DB180" i="3"/>
  <c r="DC180" i="3"/>
  <c r="A181" i="3"/>
  <c r="CY181" i="3"/>
  <c r="CZ181" i="3"/>
  <c r="DB181" i="3" s="1"/>
  <c r="DA181" i="3"/>
  <c r="DC181" i="3"/>
  <c r="A182" i="3"/>
  <c r="CY182" i="3"/>
  <c r="CZ182" i="3"/>
  <c r="DA182" i="3"/>
  <c r="DB182" i="3"/>
  <c r="DC182" i="3"/>
  <c r="A183" i="3"/>
  <c r="CY183" i="3"/>
  <c r="CZ183" i="3"/>
  <c r="DB183" i="3" s="1"/>
  <c r="DA183" i="3"/>
  <c r="DC183" i="3"/>
  <c r="A184" i="3"/>
  <c r="CY184" i="3"/>
  <c r="CZ184" i="3"/>
  <c r="DA184" i="3"/>
  <c r="DB184" i="3"/>
  <c r="DC184" i="3"/>
  <c r="A185" i="3"/>
  <c r="CY185" i="3"/>
  <c r="CZ185" i="3"/>
  <c r="DB185" i="3" s="1"/>
  <c r="DA185" i="3"/>
  <c r="DC185" i="3"/>
  <c r="A186" i="3"/>
  <c r="CY186" i="3"/>
  <c r="CZ186" i="3"/>
  <c r="DA186" i="3"/>
  <c r="DB186" i="3"/>
  <c r="DC186" i="3"/>
  <c r="A187" i="3"/>
  <c r="CY187" i="3"/>
  <c r="CZ187" i="3"/>
  <c r="DB187" i="3" s="1"/>
  <c r="DA187" i="3"/>
  <c r="DC187" i="3"/>
  <c r="A188" i="3"/>
  <c r="CY188" i="3"/>
  <c r="CZ188" i="3"/>
  <c r="DA188" i="3"/>
  <c r="DB188" i="3"/>
  <c r="DC188" i="3"/>
  <c r="A189" i="3"/>
  <c r="CY189" i="3"/>
  <c r="CZ189" i="3"/>
  <c r="DB189" i="3" s="1"/>
  <c r="DA189" i="3"/>
  <c r="DC189" i="3"/>
  <c r="A190" i="3"/>
  <c r="CY190" i="3"/>
  <c r="CZ190" i="3"/>
  <c r="DA190" i="3"/>
  <c r="DB190" i="3"/>
  <c r="DC190" i="3"/>
  <c r="A191" i="3"/>
  <c r="CX191" i="3"/>
  <c r="CY191" i="3"/>
  <c r="CZ191" i="3"/>
  <c r="DB191" i="3" s="1"/>
  <c r="DA191" i="3"/>
  <c r="DC191" i="3"/>
  <c r="A192" i="3"/>
  <c r="CX192" i="3"/>
  <c r="CY192" i="3"/>
  <c r="CZ192" i="3"/>
  <c r="DB192" i="3" s="1"/>
  <c r="DA192" i="3"/>
  <c r="DC192" i="3"/>
  <c r="A193" i="3"/>
  <c r="CX193" i="3"/>
  <c r="CY193" i="3"/>
  <c r="CZ193" i="3"/>
  <c r="DA193" i="3"/>
  <c r="DB193" i="3"/>
  <c r="DC193" i="3"/>
  <c r="A194" i="3"/>
  <c r="CX194" i="3"/>
  <c r="CY194" i="3"/>
  <c r="CZ194" i="3"/>
  <c r="DA194" i="3"/>
  <c r="DB194" i="3"/>
  <c r="DC194" i="3"/>
  <c r="A195" i="3"/>
  <c r="CX195" i="3"/>
  <c r="CY195" i="3"/>
  <c r="CZ195" i="3"/>
  <c r="DB195" i="3" s="1"/>
  <c r="DA195" i="3"/>
  <c r="DC195" i="3"/>
  <c r="A196" i="3"/>
  <c r="CX196" i="3"/>
  <c r="CY196" i="3"/>
  <c r="CZ196" i="3"/>
  <c r="DB196" i="3" s="1"/>
  <c r="DA196" i="3"/>
  <c r="DC196" i="3"/>
  <c r="A197" i="3"/>
  <c r="CX197" i="3"/>
  <c r="CY197" i="3"/>
  <c r="CZ197" i="3"/>
  <c r="DA197" i="3"/>
  <c r="DB197" i="3"/>
  <c r="DC197" i="3"/>
  <c r="A198" i="3"/>
  <c r="CX198" i="3"/>
  <c r="CY198" i="3"/>
  <c r="CZ198" i="3"/>
  <c r="DA198" i="3"/>
  <c r="DB198" i="3"/>
  <c r="DC19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AC32" i="1"/>
  <c r="AE32" i="1"/>
  <c r="F27" i="5" s="1"/>
  <c r="AF32" i="1"/>
  <c r="AG32" i="1"/>
  <c r="AH32" i="1"/>
  <c r="AI32" i="1"/>
  <c r="J27" i="5" s="1"/>
  <c r="AJ32" i="1"/>
  <c r="CX32" i="1" s="1"/>
  <c r="CQ32" i="1"/>
  <c r="CS32" i="1"/>
  <c r="CU32" i="1"/>
  <c r="T32" i="1" s="1"/>
  <c r="FR32" i="1"/>
  <c r="GL32" i="1"/>
  <c r="BZ40" i="1" s="1"/>
  <c r="GO32" i="1"/>
  <c r="CC40" i="1" s="1"/>
  <c r="CC30" i="1" s="1"/>
  <c r="GP32" i="1"/>
  <c r="GV32" i="1"/>
  <c r="HC32" i="1"/>
  <c r="GX32" i="1" s="1"/>
  <c r="C33" i="1"/>
  <c r="D33" i="1"/>
  <c r="I33" i="1"/>
  <c r="AC33" i="1"/>
  <c r="CQ33" i="1" s="1"/>
  <c r="P33" i="1" s="1"/>
  <c r="U32" i="5" s="1"/>
  <c r="AE33" i="1"/>
  <c r="F33" i="5" s="1"/>
  <c r="AF33" i="1"/>
  <c r="AG33" i="1"/>
  <c r="CU33" i="1" s="1"/>
  <c r="T33" i="1" s="1"/>
  <c r="AH33" i="1"/>
  <c r="AI33" i="1"/>
  <c r="J33" i="5" s="1"/>
  <c r="AJ33" i="1"/>
  <c r="CX33" i="1" s="1"/>
  <c r="W33" i="1" s="1"/>
  <c r="CW33" i="1"/>
  <c r="V33" i="1" s="1"/>
  <c r="FR33" i="1"/>
  <c r="GL33" i="1"/>
  <c r="GO33" i="1"/>
  <c r="GP33" i="1"/>
  <c r="GV33" i="1"/>
  <c r="HC33" i="1" s="1"/>
  <c r="GX33" i="1" s="1"/>
  <c r="C34" i="1"/>
  <c r="D34" i="1"/>
  <c r="I34" i="1"/>
  <c r="AC34" i="1"/>
  <c r="AE34" i="1"/>
  <c r="AF34" i="1"/>
  <c r="AG34" i="1"/>
  <c r="CU34" i="1" s="1"/>
  <c r="T34" i="1" s="1"/>
  <c r="AH34" i="1"/>
  <c r="J38" i="5" s="1"/>
  <c r="AI34" i="1"/>
  <c r="AJ34" i="1"/>
  <c r="CX34" i="1" s="1"/>
  <c r="W34" i="1" s="1"/>
  <c r="CT34" i="1"/>
  <c r="S34" i="1" s="1"/>
  <c r="CV34" i="1"/>
  <c r="FR34" i="1"/>
  <c r="GL34" i="1"/>
  <c r="GO34" i="1"/>
  <c r="GP34" i="1"/>
  <c r="GV34" i="1"/>
  <c r="HC34" i="1" s="1"/>
  <c r="GX34" i="1" s="1"/>
  <c r="C35" i="1"/>
  <c r="D35" i="1"/>
  <c r="AC35" i="1"/>
  <c r="CQ35" i="1" s="1"/>
  <c r="P35" i="1" s="1"/>
  <c r="AE35" i="1"/>
  <c r="F45" i="5" s="1"/>
  <c r="AF35" i="1"/>
  <c r="AG35" i="1"/>
  <c r="CU35" i="1" s="1"/>
  <c r="T35" i="1" s="1"/>
  <c r="AH35" i="1"/>
  <c r="AI35" i="1"/>
  <c r="J45" i="5" s="1"/>
  <c r="AJ35" i="1"/>
  <c r="CX35" i="1" s="1"/>
  <c r="W35" i="1" s="1"/>
  <c r="CW35" i="1"/>
  <c r="V35" i="1" s="1"/>
  <c r="FR35" i="1"/>
  <c r="GL35" i="1"/>
  <c r="GO35" i="1"/>
  <c r="GP35" i="1"/>
  <c r="GV35" i="1"/>
  <c r="HC35" i="1" s="1"/>
  <c r="GX35" i="1" s="1"/>
  <c r="AC36" i="1"/>
  <c r="AD36" i="1"/>
  <c r="F55" i="5" s="1"/>
  <c r="AE36" i="1"/>
  <c r="AF36" i="1"/>
  <c r="E56" i="5" s="1"/>
  <c r="AG36" i="1"/>
  <c r="CU36" i="1" s="1"/>
  <c r="AH36" i="1"/>
  <c r="J55" i="5" s="1"/>
  <c r="AI36" i="1"/>
  <c r="AJ36" i="1"/>
  <c r="CQ36" i="1"/>
  <c r="CX36" i="1"/>
  <c r="FR36" i="1"/>
  <c r="GL36" i="1"/>
  <c r="GO36" i="1"/>
  <c r="GP36" i="1"/>
  <c r="GV36" i="1"/>
  <c r="HC36" i="1" s="1"/>
  <c r="I37" i="1"/>
  <c r="AC37" i="1"/>
  <c r="AB37" i="1" s="1"/>
  <c r="E58" i="5" s="1"/>
  <c r="AD37" i="1"/>
  <c r="F58" i="5" s="1"/>
  <c r="AE37" i="1"/>
  <c r="F59" i="5" s="1"/>
  <c r="AF37" i="1"/>
  <c r="E59" i="5" s="1"/>
  <c r="AG37" i="1"/>
  <c r="AH37" i="1"/>
  <c r="J58" i="5" s="1"/>
  <c r="AI37" i="1"/>
  <c r="J59" i="5" s="1"/>
  <c r="AJ37" i="1"/>
  <c r="CQ37" i="1"/>
  <c r="P37" i="1" s="1"/>
  <c r="CR37" i="1"/>
  <c r="CS37" i="1"/>
  <c r="CT37" i="1"/>
  <c r="S37" i="1" s="1"/>
  <c r="CU37" i="1"/>
  <c r="T37" i="1" s="1"/>
  <c r="CV37" i="1"/>
  <c r="CW37" i="1"/>
  <c r="CX37" i="1"/>
  <c r="W37" i="1" s="1"/>
  <c r="FR37" i="1"/>
  <c r="GL37" i="1"/>
  <c r="GO37" i="1"/>
  <c r="GP37" i="1"/>
  <c r="GV37" i="1"/>
  <c r="HC37" i="1" s="1"/>
  <c r="GX37" i="1" s="1"/>
  <c r="AC38" i="1"/>
  <c r="AD38" i="1"/>
  <c r="CR38" i="1" s="1"/>
  <c r="AE38" i="1"/>
  <c r="F62" i="5" s="1"/>
  <c r="AF38" i="1"/>
  <c r="AG38" i="1"/>
  <c r="CU38" i="1" s="1"/>
  <c r="AH38" i="1"/>
  <c r="AI38" i="1"/>
  <c r="J62" i="5" s="1"/>
  <c r="AJ38" i="1"/>
  <c r="CX38" i="1" s="1"/>
  <c r="CQ38" i="1"/>
  <c r="CS38" i="1"/>
  <c r="CW38" i="1"/>
  <c r="FR38" i="1"/>
  <c r="GL38" i="1"/>
  <c r="GO38" i="1"/>
  <c r="GP38" i="1"/>
  <c r="GV38" i="1"/>
  <c r="HC38" i="1" s="1"/>
  <c r="B40" i="1"/>
  <c r="B30" i="1" s="1"/>
  <c r="C40" i="1"/>
  <c r="C30" i="1" s="1"/>
  <c r="D40" i="1"/>
  <c r="D30" i="1" s="1"/>
  <c r="F40" i="1"/>
  <c r="F30" i="1" s="1"/>
  <c r="G40" i="1"/>
  <c r="BX40" i="1"/>
  <c r="BX30" i="1" s="1"/>
  <c r="BY40" i="1"/>
  <c r="BY30" i="1" s="1"/>
  <c r="CD40" i="1"/>
  <c r="CD30" i="1" s="1"/>
  <c r="CK40" i="1"/>
  <c r="CK30" i="1" s="1"/>
  <c r="CL40" i="1"/>
  <c r="CL30" i="1" s="1"/>
  <c r="D70" i="1"/>
  <c r="E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B74" i="1"/>
  <c r="B72" i="1" s="1"/>
  <c r="C74" i="1"/>
  <c r="C72" i="1" s="1"/>
  <c r="D74" i="1"/>
  <c r="D72" i="1" s="1"/>
  <c r="F74" i="1"/>
  <c r="F72" i="1" s="1"/>
  <c r="G74" i="1"/>
  <c r="G72" i="1" s="1"/>
  <c r="O74" i="1"/>
  <c r="O72" i="1" s="1"/>
  <c r="P74" i="1"/>
  <c r="P72" i="1" s="1"/>
  <c r="Q74" i="1"/>
  <c r="Q72" i="1" s="1"/>
  <c r="R74" i="1"/>
  <c r="R72" i="1" s="1"/>
  <c r="S74" i="1"/>
  <c r="S72" i="1" s="1"/>
  <c r="T74" i="1"/>
  <c r="T72" i="1" s="1"/>
  <c r="U74" i="1"/>
  <c r="U72" i="1" s="1"/>
  <c r="V74" i="1"/>
  <c r="V72" i="1" s="1"/>
  <c r="W74" i="1"/>
  <c r="W72" i="1" s="1"/>
  <c r="X74" i="1"/>
  <c r="X72" i="1" s="1"/>
  <c r="Y74" i="1"/>
  <c r="Y72" i="1" s="1"/>
  <c r="AO74" i="1"/>
  <c r="AO72" i="1" s="1"/>
  <c r="AP74" i="1"/>
  <c r="AP72" i="1" s="1"/>
  <c r="AQ74" i="1"/>
  <c r="AQ72" i="1" s="1"/>
  <c r="AR74" i="1"/>
  <c r="AR72" i="1" s="1"/>
  <c r="AS74" i="1"/>
  <c r="AS72" i="1" s="1"/>
  <c r="AT74" i="1"/>
  <c r="AT72" i="1" s="1"/>
  <c r="AU74" i="1"/>
  <c r="AU72" i="1" s="1"/>
  <c r="AV74" i="1"/>
  <c r="AV72" i="1" s="1"/>
  <c r="AW74" i="1"/>
  <c r="AW72" i="1" s="1"/>
  <c r="AX74" i="1"/>
  <c r="AX72" i="1" s="1"/>
  <c r="AY74" i="1"/>
  <c r="AY72" i="1" s="1"/>
  <c r="AZ74" i="1"/>
  <c r="AZ72" i="1" s="1"/>
  <c r="BA74" i="1"/>
  <c r="BA72" i="1" s="1"/>
  <c r="BB74" i="1"/>
  <c r="BB72" i="1" s="1"/>
  <c r="BC74" i="1"/>
  <c r="BC72" i="1" s="1"/>
  <c r="BD74" i="1"/>
  <c r="BD72" i="1" s="1"/>
  <c r="F78" i="1"/>
  <c r="F79" i="1"/>
  <c r="F80" i="1"/>
  <c r="F81" i="1"/>
  <c r="F82" i="1"/>
  <c r="F85" i="1"/>
  <c r="F86" i="1"/>
  <c r="F88" i="1"/>
  <c r="F89" i="1"/>
  <c r="F90" i="1"/>
  <c r="F91" i="1"/>
  <c r="F94" i="1"/>
  <c r="F96" i="1"/>
  <c r="F97" i="1"/>
  <c r="F98" i="1"/>
  <c r="F99" i="1"/>
  <c r="F101" i="1"/>
  <c r="F102" i="1"/>
  <c r="D104" i="1"/>
  <c r="E106" i="1"/>
  <c r="Z106" i="1"/>
  <c r="AA106" i="1"/>
  <c r="AM106" i="1"/>
  <c r="AN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EG106" i="1"/>
  <c r="EH106" i="1"/>
  <c r="EI106" i="1"/>
  <c r="EJ106" i="1"/>
  <c r="EK106" i="1"/>
  <c r="EL106" i="1"/>
  <c r="EM106" i="1"/>
  <c r="EN106" i="1"/>
  <c r="EO106" i="1"/>
  <c r="EP106" i="1"/>
  <c r="EQ106" i="1"/>
  <c r="ER106" i="1"/>
  <c r="ES106" i="1"/>
  <c r="ET106" i="1"/>
  <c r="EU106" i="1"/>
  <c r="EV106" i="1"/>
  <c r="EW106" i="1"/>
  <c r="EX106" i="1"/>
  <c r="EY106" i="1"/>
  <c r="EZ106" i="1"/>
  <c r="FA106" i="1"/>
  <c r="FB106" i="1"/>
  <c r="FC106" i="1"/>
  <c r="FD106" i="1"/>
  <c r="FE106" i="1"/>
  <c r="FF106" i="1"/>
  <c r="FG106" i="1"/>
  <c r="FH106" i="1"/>
  <c r="FI106" i="1"/>
  <c r="FJ106" i="1"/>
  <c r="FK106" i="1"/>
  <c r="FL106" i="1"/>
  <c r="FM106" i="1"/>
  <c r="FN106" i="1"/>
  <c r="FO106" i="1"/>
  <c r="FP106" i="1"/>
  <c r="FQ106" i="1"/>
  <c r="FR106" i="1"/>
  <c r="FS106" i="1"/>
  <c r="FT106" i="1"/>
  <c r="FU106" i="1"/>
  <c r="FV106" i="1"/>
  <c r="FW106" i="1"/>
  <c r="FX106" i="1"/>
  <c r="FY106" i="1"/>
  <c r="FZ106" i="1"/>
  <c r="GA106" i="1"/>
  <c r="GB106" i="1"/>
  <c r="GC106" i="1"/>
  <c r="GD106" i="1"/>
  <c r="GE106" i="1"/>
  <c r="GF106" i="1"/>
  <c r="GG106" i="1"/>
  <c r="GH106" i="1"/>
  <c r="GI106" i="1"/>
  <c r="GJ106" i="1"/>
  <c r="GK106" i="1"/>
  <c r="GL106" i="1"/>
  <c r="GM106" i="1"/>
  <c r="GN106" i="1"/>
  <c r="GO106" i="1"/>
  <c r="GP106" i="1"/>
  <c r="GQ106" i="1"/>
  <c r="GR106" i="1"/>
  <c r="GS106" i="1"/>
  <c r="GT106" i="1"/>
  <c r="GU106" i="1"/>
  <c r="GV106" i="1"/>
  <c r="GW106" i="1"/>
  <c r="GX106" i="1"/>
  <c r="C108" i="1"/>
  <c r="D108" i="1"/>
  <c r="I108" i="1"/>
  <c r="AC108" i="1"/>
  <c r="CQ108" i="1" s="1"/>
  <c r="P108" i="1" s="1"/>
  <c r="U71" i="5" s="1"/>
  <c r="AE108" i="1"/>
  <c r="F72" i="5" s="1"/>
  <c r="AF108" i="1"/>
  <c r="AG108" i="1"/>
  <c r="CU108" i="1" s="1"/>
  <c r="T108" i="1" s="1"/>
  <c r="AH108" i="1"/>
  <c r="AI108" i="1"/>
  <c r="J72" i="5" s="1"/>
  <c r="AJ108" i="1"/>
  <c r="CX108" i="1" s="1"/>
  <c r="W108" i="1" s="1"/>
  <c r="CS108" i="1"/>
  <c r="CW108" i="1"/>
  <c r="V108" i="1" s="1"/>
  <c r="FR108" i="1"/>
  <c r="BY124" i="1" s="1"/>
  <c r="BY106" i="1" s="1"/>
  <c r="GL108" i="1"/>
  <c r="GO108" i="1"/>
  <c r="GP108" i="1"/>
  <c r="GV108" i="1"/>
  <c r="HC108" i="1" s="1"/>
  <c r="GX108" i="1" s="1"/>
  <c r="AC109" i="1"/>
  <c r="AE109" i="1"/>
  <c r="AF109" i="1"/>
  <c r="E83" i="5" s="1"/>
  <c r="AG109" i="1"/>
  <c r="CU109" i="1" s="1"/>
  <c r="AH109" i="1"/>
  <c r="J82" i="5" s="1"/>
  <c r="AI109" i="1"/>
  <c r="AJ109" i="1"/>
  <c r="CV109" i="1"/>
  <c r="CX109" i="1"/>
  <c r="FR109" i="1"/>
  <c r="GL109" i="1"/>
  <c r="GO109" i="1"/>
  <c r="CC124" i="1" s="1"/>
  <c r="CC106" i="1" s="1"/>
  <c r="GP109" i="1"/>
  <c r="GV109" i="1"/>
  <c r="HC109" i="1"/>
  <c r="C110" i="1"/>
  <c r="D110" i="1"/>
  <c r="I110" i="1"/>
  <c r="AC110" i="1"/>
  <c r="AD110" i="1"/>
  <c r="AE110" i="1"/>
  <c r="F85" i="5" s="1"/>
  <c r="AF110" i="1"/>
  <c r="AG110" i="1"/>
  <c r="CU110" i="1" s="1"/>
  <c r="T110" i="1" s="1"/>
  <c r="AH110" i="1"/>
  <c r="AI110" i="1"/>
  <c r="J85" i="5" s="1"/>
  <c r="AJ110" i="1"/>
  <c r="CX110" i="1" s="1"/>
  <c r="W110" i="1" s="1"/>
  <c r="CQ110" i="1"/>
  <c r="P110" i="1" s="1"/>
  <c r="U84" i="5" s="1"/>
  <c r="CS110" i="1"/>
  <c r="R110" i="1" s="1"/>
  <c r="CW110" i="1"/>
  <c r="V110" i="1" s="1"/>
  <c r="FR110" i="1"/>
  <c r="GL110" i="1"/>
  <c r="GO110" i="1"/>
  <c r="GP110" i="1"/>
  <c r="GV110" i="1"/>
  <c r="HC110" i="1"/>
  <c r="GX110" i="1" s="1"/>
  <c r="C111" i="1"/>
  <c r="D111" i="1"/>
  <c r="I111" i="1"/>
  <c r="AC111" i="1"/>
  <c r="AE111" i="1"/>
  <c r="AF111" i="1"/>
  <c r="AG111" i="1"/>
  <c r="CU111" i="1" s="1"/>
  <c r="T111" i="1" s="1"/>
  <c r="AH111" i="1"/>
  <c r="J95" i="5" s="1"/>
  <c r="AI111" i="1"/>
  <c r="AJ111" i="1"/>
  <c r="CT111" i="1"/>
  <c r="S111" i="1" s="1"/>
  <c r="CV111" i="1"/>
  <c r="U111" i="1" s="1"/>
  <c r="CX111" i="1"/>
  <c r="FR111" i="1"/>
  <c r="GL111" i="1"/>
  <c r="GO111" i="1"/>
  <c r="GP111" i="1"/>
  <c r="GV111" i="1"/>
  <c r="HC111" i="1"/>
  <c r="GX111" i="1" s="1"/>
  <c r="AC112" i="1"/>
  <c r="AE112" i="1"/>
  <c r="F107" i="5" s="1"/>
  <c r="AF112" i="1"/>
  <c r="AG112" i="1"/>
  <c r="AH112" i="1"/>
  <c r="AI112" i="1"/>
  <c r="J107" i="5" s="1"/>
  <c r="AJ112" i="1"/>
  <c r="CX112" i="1" s="1"/>
  <c r="CQ112" i="1"/>
  <c r="CU112" i="1"/>
  <c r="FR112" i="1"/>
  <c r="GL112" i="1"/>
  <c r="GO112" i="1"/>
  <c r="GP112" i="1"/>
  <c r="GV112" i="1"/>
  <c r="HC112" i="1"/>
  <c r="C113" i="1"/>
  <c r="D113" i="1"/>
  <c r="AC113" i="1"/>
  <c r="AE113" i="1"/>
  <c r="AF113" i="1"/>
  <c r="AG113" i="1"/>
  <c r="CU113" i="1" s="1"/>
  <c r="AH113" i="1"/>
  <c r="J108" i="5" s="1"/>
  <c r="AI113" i="1"/>
  <c r="AJ113" i="1"/>
  <c r="CX113" i="1" s="1"/>
  <c r="CV113" i="1"/>
  <c r="FR113" i="1"/>
  <c r="GL113" i="1"/>
  <c r="GO113" i="1"/>
  <c r="GP113" i="1"/>
  <c r="GV113" i="1"/>
  <c r="HC113" i="1" s="1"/>
  <c r="C114" i="1"/>
  <c r="D114" i="1"/>
  <c r="I114" i="1"/>
  <c r="AC114" i="1"/>
  <c r="AE114" i="1"/>
  <c r="F120" i="5" s="1"/>
  <c r="AF114" i="1"/>
  <c r="AG114" i="1"/>
  <c r="AH114" i="1"/>
  <c r="AI114" i="1"/>
  <c r="J120" i="5" s="1"/>
  <c r="AJ114" i="1"/>
  <c r="CX114" i="1" s="1"/>
  <c r="W114" i="1" s="1"/>
  <c r="CQ114" i="1"/>
  <c r="CU114" i="1"/>
  <c r="CW114" i="1"/>
  <c r="V114" i="1" s="1"/>
  <c r="FR114" i="1"/>
  <c r="GL114" i="1"/>
  <c r="GO114" i="1"/>
  <c r="GP114" i="1"/>
  <c r="GV114" i="1"/>
  <c r="HC114" i="1" s="1"/>
  <c r="GX114" i="1" s="1"/>
  <c r="C115" i="1"/>
  <c r="D115" i="1"/>
  <c r="AC115" i="1"/>
  <c r="AE115" i="1"/>
  <c r="F131" i="5" s="1"/>
  <c r="AF115" i="1"/>
  <c r="AG115" i="1"/>
  <c r="CU115" i="1" s="1"/>
  <c r="AH115" i="1"/>
  <c r="J130" i="5" s="1"/>
  <c r="AI115" i="1"/>
  <c r="AJ115" i="1"/>
  <c r="CX115" i="1" s="1"/>
  <c r="CV115" i="1"/>
  <c r="FR115" i="1"/>
  <c r="GL115" i="1"/>
  <c r="GO115" i="1"/>
  <c r="GP115" i="1"/>
  <c r="GV115" i="1"/>
  <c r="HC115" i="1" s="1"/>
  <c r="C116" i="1"/>
  <c r="D116" i="1"/>
  <c r="AC116" i="1"/>
  <c r="AE116" i="1"/>
  <c r="F143" i="5" s="1"/>
  <c r="AF116" i="1"/>
  <c r="AG116" i="1"/>
  <c r="AH116" i="1"/>
  <c r="AI116" i="1"/>
  <c r="J143" i="5" s="1"/>
  <c r="AJ116" i="1"/>
  <c r="CX116" i="1" s="1"/>
  <c r="CQ116" i="1"/>
  <c r="CU116" i="1"/>
  <c r="FR116" i="1"/>
  <c r="GL116" i="1"/>
  <c r="GO116" i="1"/>
  <c r="GP116" i="1"/>
  <c r="GV116" i="1"/>
  <c r="HC116" i="1"/>
  <c r="C117" i="1"/>
  <c r="D117" i="1"/>
  <c r="I117" i="1"/>
  <c r="AC117" i="1"/>
  <c r="AE117" i="1"/>
  <c r="F154" i="5" s="1"/>
  <c r="AF117" i="1"/>
  <c r="AG117" i="1"/>
  <c r="CU117" i="1" s="1"/>
  <c r="T117" i="1" s="1"/>
  <c r="AH117" i="1"/>
  <c r="J153" i="5" s="1"/>
  <c r="AI117" i="1"/>
  <c r="AJ117" i="1"/>
  <c r="CX117" i="1" s="1"/>
  <c r="W117" i="1" s="1"/>
  <c r="CT117" i="1"/>
  <c r="S117" i="1" s="1"/>
  <c r="CV117" i="1"/>
  <c r="U117" i="1" s="1"/>
  <c r="FR117" i="1"/>
  <c r="GL117" i="1"/>
  <c r="GO117" i="1"/>
  <c r="GP117" i="1"/>
  <c r="GV117" i="1"/>
  <c r="HC117" i="1" s="1"/>
  <c r="GX117" i="1" s="1"/>
  <c r="I118" i="1"/>
  <c r="D164" i="5" s="1"/>
  <c r="AC118" i="1"/>
  <c r="AD118" i="1"/>
  <c r="AE118" i="1"/>
  <c r="F165" i="5" s="1"/>
  <c r="AF118" i="1"/>
  <c r="AG118" i="1"/>
  <c r="CU118" i="1" s="1"/>
  <c r="T118" i="1" s="1"/>
  <c r="AH118" i="1"/>
  <c r="AI118" i="1"/>
  <c r="J165" i="5" s="1"/>
  <c r="AJ118" i="1"/>
  <c r="CX118" i="1" s="1"/>
  <c r="W118" i="1" s="1"/>
  <c r="CQ118" i="1"/>
  <c r="P118" i="1" s="1"/>
  <c r="CS118" i="1"/>
  <c r="R118" i="1" s="1"/>
  <c r="CW118" i="1"/>
  <c r="V118" i="1" s="1"/>
  <c r="FR118" i="1"/>
  <c r="GL118" i="1"/>
  <c r="GO118" i="1"/>
  <c r="GP118" i="1"/>
  <c r="GV118" i="1"/>
  <c r="HC118" i="1" s="1"/>
  <c r="GX118" i="1" s="1"/>
  <c r="I119" i="1"/>
  <c r="AC119" i="1"/>
  <c r="AE119" i="1"/>
  <c r="F167" i="5" s="1"/>
  <c r="AF119" i="1"/>
  <c r="E167" i="5" s="1"/>
  <c r="AG119" i="1"/>
  <c r="CU119" i="1" s="1"/>
  <c r="AH119" i="1"/>
  <c r="J166" i="5" s="1"/>
  <c r="AI119" i="1"/>
  <c r="AJ119" i="1"/>
  <c r="CX119" i="1" s="1"/>
  <c r="W119" i="1" s="1"/>
  <c r="CV119" i="1"/>
  <c r="U119" i="1" s="1"/>
  <c r="FR119" i="1"/>
  <c r="GL119" i="1"/>
  <c r="GO119" i="1"/>
  <c r="GP119" i="1"/>
  <c r="GV119" i="1"/>
  <c r="HC119" i="1" s="1"/>
  <c r="GX119" i="1" s="1"/>
  <c r="C120" i="1"/>
  <c r="D120" i="1"/>
  <c r="I120" i="1"/>
  <c r="V120" i="1"/>
  <c r="AC120" i="1"/>
  <c r="CQ120" i="1" s="1"/>
  <c r="P120" i="1" s="1"/>
  <c r="AD120" i="1"/>
  <c r="AE120" i="1"/>
  <c r="F169" i="5" s="1"/>
  <c r="AF120" i="1"/>
  <c r="AG120" i="1"/>
  <c r="AH120" i="1"/>
  <c r="J168" i="5" s="1"/>
  <c r="AI120" i="1"/>
  <c r="J169" i="5" s="1"/>
  <c r="AJ120" i="1"/>
  <c r="CR120" i="1"/>
  <c r="Q120" i="1" s="1"/>
  <c r="CS120" i="1"/>
  <c r="R120" i="1" s="1"/>
  <c r="CT120" i="1"/>
  <c r="S120" i="1" s="1"/>
  <c r="CU120" i="1"/>
  <c r="T120" i="1" s="1"/>
  <c r="CV120" i="1"/>
  <c r="U120" i="1" s="1"/>
  <c r="CW120" i="1"/>
  <c r="CX120" i="1"/>
  <c r="W120" i="1" s="1"/>
  <c r="FR120" i="1"/>
  <c r="GL120" i="1"/>
  <c r="GO120" i="1"/>
  <c r="GP120" i="1"/>
  <c r="GV120" i="1"/>
  <c r="HC120" i="1" s="1"/>
  <c r="GX120" i="1" s="1"/>
  <c r="I121" i="1"/>
  <c r="D180" i="5" s="1"/>
  <c r="AC121" i="1"/>
  <c r="AE121" i="1"/>
  <c r="F181" i="5" s="1"/>
  <c r="AF121" i="1"/>
  <c r="AG121" i="1"/>
  <c r="CU121" i="1" s="1"/>
  <c r="T121" i="1" s="1"/>
  <c r="AH121" i="1"/>
  <c r="AI121" i="1"/>
  <c r="J181" i="5" s="1"/>
  <c r="AJ121" i="1"/>
  <c r="CX121" i="1" s="1"/>
  <c r="W121" i="1" s="1"/>
  <c r="CQ121" i="1"/>
  <c r="CW121" i="1"/>
  <c r="V121" i="1" s="1"/>
  <c r="FR121" i="1"/>
  <c r="GL121" i="1"/>
  <c r="GO121" i="1"/>
  <c r="GP121" i="1"/>
  <c r="GV121" i="1"/>
  <c r="HC121" i="1" s="1"/>
  <c r="GX121" i="1" s="1"/>
  <c r="AC122" i="1"/>
  <c r="AE122" i="1"/>
  <c r="AF122" i="1"/>
  <c r="E183" i="5" s="1"/>
  <c r="AG122" i="1"/>
  <c r="CU122" i="1" s="1"/>
  <c r="AH122" i="1"/>
  <c r="J182" i="5" s="1"/>
  <c r="AI122" i="1"/>
  <c r="AJ122" i="1"/>
  <c r="CV122" i="1"/>
  <c r="CX122" i="1"/>
  <c r="FR122" i="1"/>
  <c r="GL122" i="1"/>
  <c r="GO122" i="1"/>
  <c r="GP122" i="1"/>
  <c r="GV122" i="1"/>
  <c r="HC122" i="1" s="1"/>
  <c r="B124" i="1"/>
  <c r="B106" i="1" s="1"/>
  <c r="C124" i="1"/>
  <c r="C106" i="1" s="1"/>
  <c r="D124" i="1"/>
  <c r="D106" i="1" s="1"/>
  <c r="F124" i="1"/>
  <c r="F106" i="1" s="1"/>
  <c r="G124" i="1"/>
  <c r="BX124" i="1"/>
  <c r="BX106" i="1" s="1"/>
  <c r="CK124" i="1"/>
  <c r="CK106" i="1" s="1"/>
  <c r="CL124" i="1"/>
  <c r="CL106" i="1" s="1"/>
  <c r="CM124" i="1"/>
  <c r="CM106" i="1" s="1"/>
  <c r="D154" i="1"/>
  <c r="E156" i="1"/>
  <c r="Z156" i="1"/>
  <c r="AA156" i="1"/>
  <c r="AM156" i="1"/>
  <c r="AN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EG156" i="1"/>
  <c r="EH156" i="1"/>
  <c r="EI156" i="1"/>
  <c r="EJ156" i="1"/>
  <c r="EK156" i="1"/>
  <c r="EL156" i="1"/>
  <c r="EM156" i="1"/>
  <c r="EN156" i="1"/>
  <c r="EO156" i="1"/>
  <c r="EP156" i="1"/>
  <c r="EQ156" i="1"/>
  <c r="ER156" i="1"/>
  <c r="ES156" i="1"/>
  <c r="ET156" i="1"/>
  <c r="EU156" i="1"/>
  <c r="EV156" i="1"/>
  <c r="EW156" i="1"/>
  <c r="EX156" i="1"/>
  <c r="EY156" i="1"/>
  <c r="EZ156" i="1"/>
  <c r="FA156" i="1"/>
  <c r="FB156" i="1"/>
  <c r="FC156" i="1"/>
  <c r="FD156" i="1"/>
  <c r="FE156" i="1"/>
  <c r="FF156" i="1"/>
  <c r="FG156" i="1"/>
  <c r="FH156" i="1"/>
  <c r="FI156" i="1"/>
  <c r="FJ156" i="1"/>
  <c r="FK156" i="1"/>
  <c r="FL156" i="1"/>
  <c r="FM156" i="1"/>
  <c r="FN156" i="1"/>
  <c r="FO156" i="1"/>
  <c r="FP156" i="1"/>
  <c r="FQ156" i="1"/>
  <c r="FR156" i="1"/>
  <c r="FS156" i="1"/>
  <c r="FT156" i="1"/>
  <c r="FU156" i="1"/>
  <c r="FV156" i="1"/>
  <c r="FW156" i="1"/>
  <c r="FX156" i="1"/>
  <c r="FY156" i="1"/>
  <c r="FZ156" i="1"/>
  <c r="GA156" i="1"/>
  <c r="GB156" i="1"/>
  <c r="GC156" i="1"/>
  <c r="GD156" i="1"/>
  <c r="GE156" i="1"/>
  <c r="GF156" i="1"/>
  <c r="GG156" i="1"/>
  <c r="GH156" i="1"/>
  <c r="GI156" i="1"/>
  <c r="GJ156" i="1"/>
  <c r="GK156" i="1"/>
  <c r="GL156" i="1"/>
  <c r="GM156" i="1"/>
  <c r="GN156" i="1"/>
  <c r="GO156" i="1"/>
  <c r="GP156" i="1"/>
  <c r="GQ156" i="1"/>
  <c r="GR156" i="1"/>
  <c r="GS156" i="1"/>
  <c r="GT156" i="1"/>
  <c r="GU156" i="1"/>
  <c r="GV156" i="1"/>
  <c r="GW156" i="1"/>
  <c r="GX156" i="1"/>
  <c r="C158" i="1"/>
  <c r="D158" i="1"/>
  <c r="AC158" i="1"/>
  <c r="AE158" i="1"/>
  <c r="AF158" i="1"/>
  <c r="AG158" i="1"/>
  <c r="CU158" i="1" s="1"/>
  <c r="AH158" i="1"/>
  <c r="J191" i="5" s="1"/>
  <c r="AI158" i="1"/>
  <c r="AJ158" i="1"/>
  <c r="CT158" i="1"/>
  <c r="CV158" i="1"/>
  <c r="CX158" i="1"/>
  <c r="FR158" i="1"/>
  <c r="GL158" i="1"/>
  <c r="GO158" i="1"/>
  <c r="GP158" i="1"/>
  <c r="CD167" i="1" s="1"/>
  <c r="CD156" i="1" s="1"/>
  <c r="GV158" i="1"/>
  <c r="HC158" i="1"/>
  <c r="C159" i="1"/>
  <c r="D159" i="1"/>
  <c r="AC159" i="1"/>
  <c r="AE159" i="1"/>
  <c r="F203" i="5" s="1"/>
  <c r="AF159" i="1"/>
  <c r="AG159" i="1"/>
  <c r="AH159" i="1"/>
  <c r="AI159" i="1"/>
  <c r="J203" i="5" s="1"/>
  <c r="AJ159" i="1"/>
  <c r="CX159" i="1" s="1"/>
  <c r="CQ159" i="1"/>
  <c r="CU159" i="1"/>
  <c r="FR159" i="1"/>
  <c r="GL159" i="1"/>
  <c r="GO159" i="1"/>
  <c r="GP159" i="1"/>
  <c r="GV159" i="1"/>
  <c r="HC159" i="1"/>
  <c r="AC160" i="1"/>
  <c r="AE160" i="1"/>
  <c r="AF160" i="1"/>
  <c r="E214" i="5" s="1"/>
  <c r="AG160" i="1"/>
  <c r="CU160" i="1" s="1"/>
  <c r="AH160" i="1"/>
  <c r="J213" i="5" s="1"/>
  <c r="AI160" i="1"/>
  <c r="AJ160" i="1"/>
  <c r="CT160" i="1"/>
  <c r="CV160" i="1"/>
  <c r="CX160" i="1"/>
  <c r="FR160" i="1"/>
  <c r="GL160" i="1"/>
  <c r="GO160" i="1"/>
  <c r="GP160" i="1"/>
  <c r="GV160" i="1"/>
  <c r="HC160" i="1"/>
  <c r="C161" i="1"/>
  <c r="D161" i="1"/>
  <c r="I161" i="1"/>
  <c r="AC161" i="1"/>
  <c r="AD161" i="1"/>
  <c r="AE161" i="1"/>
  <c r="F216" i="5" s="1"/>
  <c r="AF161" i="1"/>
  <c r="AG161" i="1"/>
  <c r="AH161" i="1"/>
  <c r="AI161" i="1"/>
  <c r="J216" i="5" s="1"/>
  <c r="AJ161" i="1"/>
  <c r="CX161" i="1" s="1"/>
  <c r="W161" i="1" s="1"/>
  <c r="CQ161" i="1"/>
  <c r="P161" i="1" s="1"/>
  <c r="U215" i="5" s="1"/>
  <c r="CS161" i="1"/>
  <c r="R161" i="1" s="1"/>
  <c r="CU161" i="1"/>
  <c r="T161" i="1" s="1"/>
  <c r="FR161" i="1"/>
  <c r="GL161" i="1"/>
  <c r="BZ167" i="1" s="1"/>
  <c r="BZ156" i="1" s="1"/>
  <c r="GO161" i="1"/>
  <c r="GP161" i="1"/>
  <c r="GV161" i="1"/>
  <c r="HC161" i="1"/>
  <c r="GX161" i="1" s="1"/>
  <c r="AC162" i="1"/>
  <c r="AE162" i="1"/>
  <c r="AF162" i="1"/>
  <c r="E227" i="5" s="1"/>
  <c r="AG162" i="1"/>
  <c r="CU162" i="1" s="1"/>
  <c r="AH162" i="1"/>
  <c r="J226" i="5" s="1"/>
  <c r="AI162" i="1"/>
  <c r="AJ162" i="1"/>
  <c r="CX162" i="1" s="1"/>
  <c r="CT162" i="1"/>
  <c r="CV162" i="1"/>
  <c r="FR162" i="1"/>
  <c r="GL162" i="1"/>
  <c r="GO162" i="1"/>
  <c r="GP162" i="1"/>
  <c r="GV162" i="1"/>
  <c r="HC162" i="1"/>
  <c r="C163" i="1"/>
  <c r="D163" i="1"/>
  <c r="I163" i="1"/>
  <c r="AC163" i="1"/>
  <c r="AD163" i="1"/>
  <c r="AE163" i="1"/>
  <c r="F229" i="5" s="1"/>
  <c r="AF163" i="1"/>
  <c r="AG163" i="1"/>
  <c r="CU163" i="1" s="1"/>
  <c r="T163" i="1" s="1"/>
  <c r="AH163" i="1"/>
  <c r="AI163" i="1"/>
  <c r="J229" i="5" s="1"/>
  <c r="AJ163" i="1"/>
  <c r="CX163" i="1" s="1"/>
  <c r="W163" i="1" s="1"/>
  <c r="CQ163" i="1"/>
  <c r="P163" i="1" s="1"/>
  <c r="U228" i="5" s="1"/>
  <c r="CS163" i="1"/>
  <c r="R163" i="1" s="1"/>
  <c r="CW163" i="1"/>
  <c r="V163" i="1" s="1"/>
  <c r="FR163" i="1"/>
  <c r="GL163" i="1"/>
  <c r="GO163" i="1"/>
  <c r="GP163" i="1"/>
  <c r="GV163" i="1"/>
  <c r="HC163" i="1" s="1"/>
  <c r="GX163" i="1" s="1"/>
  <c r="AC164" i="1"/>
  <c r="AD164" i="1"/>
  <c r="F239" i="5" s="1"/>
  <c r="AE164" i="1"/>
  <c r="AF164" i="1"/>
  <c r="E240" i="5" s="1"/>
  <c r="AG164" i="1"/>
  <c r="CU164" i="1" s="1"/>
  <c r="AH164" i="1"/>
  <c r="J239" i="5" s="1"/>
  <c r="AI164" i="1"/>
  <c r="AJ164" i="1"/>
  <c r="CV164" i="1"/>
  <c r="CX164" i="1"/>
  <c r="FR164" i="1"/>
  <c r="GL164" i="1"/>
  <c r="GO164" i="1"/>
  <c r="GP164" i="1"/>
  <c r="GV164" i="1"/>
  <c r="HC164" i="1"/>
  <c r="AC165" i="1"/>
  <c r="AB165" i="1" s="1"/>
  <c r="E242" i="5" s="1"/>
  <c r="AD165" i="1"/>
  <c r="F242" i="5" s="1"/>
  <c r="AE165" i="1"/>
  <c r="AF165" i="1"/>
  <c r="E243" i="5" s="1"/>
  <c r="AG165" i="1"/>
  <c r="CU165" i="1" s="1"/>
  <c r="AH165" i="1"/>
  <c r="J242" i="5" s="1"/>
  <c r="AI165" i="1"/>
  <c r="AJ165" i="1"/>
  <c r="CR165" i="1"/>
  <c r="CT165" i="1"/>
  <c r="CX165" i="1"/>
  <c r="FR165" i="1"/>
  <c r="GL165" i="1"/>
  <c r="GO165" i="1"/>
  <c r="GP165" i="1"/>
  <c r="GV165" i="1"/>
  <c r="HC165" i="1" s="1"/>
  <c r="B167" i="1"/>
  <c r="B156" i="1" s="1"/>
  <c r="C167" i="1"/>
  <c r="C156" i="1" s="1"/>
  <c r="D167" i="1"/>
  <c r="D156" i="1" s="1"/>
  <c r="F167" i="1"/>
  <c r="F156" i="1" s="1"/>
  <c r="G167" i="1"/>
  <c r="BX167" i="1"/>
  <c r="CK167" i="1"/>
  <c r="CK156" i="1" s="1"/>
  <c r="CL167" i="1"/>
  <c r="CL156" i="1" s="1"/>
  <c r="D197" i="1"/>
  <c r="E199" i="1"/>
  <c r="Z199" i="1"/>
  <c r="AA199" i="1"/>
  <c r="AM199" i="1"/>
  <c r="AN199" i="1"/>
  <c r="BE199" i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BR199" i="1"/>
  <c r="BS199" i="1"/>
  <c r="BT199" i="1"/>
  <c r="BU199" i="1"/>
  <c r="BV199" i="1"/>
  <c r="BW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EG199" i="1"/>
  <c r="EH199" i="1"/>
  <c r="EI199" i="1"/>
  <c r="EJ199" i="1"/>
  <c r="EK199" i="1"/>
  <c r="EL199" i="1"/>
  <c r="EM199" i="1"/>
  <c r="EN199" i="1"/>
  <c r="EO199" i="1"/>
  <c r="EP199" i="1"/>
  <c r="EQ199" i="1"/>
  <c r="ER199" i="1"/>
  <c r="ES199" i="1"/>
  <c r="ET199" i="1"/>
  <c r="EU199" i="1"/>
  <c r="EV199" i="1"/>
  <c r="EW199" i="1"/>
  <c r="EX199" i="1"/>
  <c r="EY199" i="1"/>
  <c r="EZ199" i="1"/>
  <c r="FA199" i="1"/>
  <c r="FB199" i="1"/>
  <c r="FC199" i="1"/>
  <c r="FD199" i="1"/>
  <c r="FE199" i="1"/>
  <c r="FF199" i="1"/>
  <c r="FG199" i="1"/>
  <c r="FH199" i="1"/>
  <c r="FI199" i="1"/>
  <c r="FJ199" i="1"/>
  <c r="FK199" i="1"/>
  <c r="FL199" i="1"/>
  <c r="FM199" i="1"/>
  <c r="FN199" i="1"/>
  <c r="FO199" i="1"/>
  <c r="FP199" i="1"/>
  <c r="FQ199" i="1"/>
  <c r="FR199" i="1"/>
  <c r="FS199" i="1"/>
  <c r="FT199" i="1"/>
  <c r="FU199" i="1"/>
  <c r="FV199" i="1"/>
  <c r="FW199" i="1"/>
  <c r="FX199" i="1"/>
  <c r="FY199" i="1"/>
  <c r="FZ199" i="1"/>
  <c r="GA199" i="1"/>
  <c r="GB199" i="1"/>
  <c r="GC199" i="1"/>
  <c r="GD199" i="1"/>
  <c r="GE199" i="1"/>
  <c r="GF199" i="1"/>
  <c r="GG199" i="1"/>
  <c r="GH199" i="1"/>
  <c r="GI199" i="1"/>
  <c r="GJ199" i="1"/>
  <c r="GK199" i="1"/>
  <c r="GL199" i="1"/>
  <c r="GM199" i="1"/>
  <c r="GN199" i="1"/>
  <c r="GO199" i="1"/>
  <c r="GP199" i="1"/>
  <c r="GQ199" i="1"/>
  <c r="GR199" i="1"/>
  <c r="GS199" i="1"/>
  <c r="GT199" i="1"/>
  <c r="GU199" i="1"/>
  <c r="GV199" i="1"/>
  <c r="GW199" i="1"/>
  <c r="GX199" i="1"/>
  <c r="C201" i="1"/>
  <c r="D201" i="1"/>
  <c r="I201" i="1"/>
  <c r="AC201" i="1"/>
  <c r="AE201" i="1"/>
  <c r="F252" i="5" s="1"/>
  <c r="AF201" i="1"/>
  <c r="AG201" i="1"/>
  <c r="CU201" i="1" s="1"/>
  <c r="T201" i="1" s="1"/>
  <c r="AH201" i="1"/>
  <c r="AI201" i="1"/>
  <c r="J252" i="5" s="1"/>
  <c r="AJ201" i="1"/>
  <c r="CX201" i="1" s="1"/>
  <c r="CQ201" i="1"/>
  <c r="CW201" i="1"/>
  <c r="FR201" i="1"/>
  <c r="BY206" i="1" s="1"/>
  <c r="AP206" i="1" s="1"/>
  <c r="GL201" i="1"/>
  <c r="GO201" i="1"/>
  <c r="GP201" i="1"/>
  <c r="GV201" i="1"/>
  <c r="HC201" i="1" s="1"/>
  <c r="GX201" i="1" s="1"/>
  <c r="I202" i="1"/>
  <c r="AC202" i="1"/>
  <c r="AE202" i="1"/>
  <c r="F263" i="5" s="1"/>
  <c r="AF202" i="1"/>
  <c r="E263" i="5" s="1"/>
  <c r="AG202" i="1"/>
  <c r="CU202" i="1" s="1"/>
  <c r="T202" i="1" s="1"/>
  <c r="AH202" i="1"/>
  <c r="J262" i="5" s="1"/>
  <c r="AI202" i="1"/>
  <c r="AJ202" i="1"/>
  <c r="CX202" i="1" s="1"/>
  <c r="W202" i="1" s="1"/>
  <c r="CV202" i="1"/>
  <c r="FR202" i="1"/>
  <c r="GL202" i="1"/>
  <c r="GO202" i="1"/>
  <c r="GP202" i="1"/>
  <c r="GV202" i="1"/>
  <c r="HC202" i="1" s="1"/>
  <c r="GX202" i="1" s="1"/>
  <c r="C203" i="1"/>
  <c r="D203" i="1"/>
  <c r="AC203" i="1"/>
  <c r="AE203" i="1"/>
  <c r="F265" i="5" s="1"/>
  <c r="AF203" i="1"/>
  <c r="AG203" i="1"/>
  <c r="CU203" i="1" s="1"/>
  <c r="AH203" i="1"/>
  <c r="AI203" i="1"/>
  <c r="J265" i="5" s="1"/>
  <c r="AJ203" i="1"/>
  <c r="CX203" i="1" s="1"/>
  <c r="CQ203" i="1"/>
  <c r="CW203" i="1"/>
  <c r="FR203" i="1"/>
  <c r="GL203" i="1"/>
  <c r="GO203" i="1"/>
  <c r="GP203" i="1"/>
  <c r="GV203" i="1"/>
  <c r="HC203" i="1" s="1"/>
  <c r="C204" i="1"/>
  <c r="D204" i="1"/>
  <c r="AC204" i="1"/>
  <c r="AE204" i="1"/>
  <c r="AF204" i="1"/>
  <c r="AG204" i="1"/>
  <c r="CU204" i="1" s="1"/>
  <c r="AH204" i="1"/>
  <c r="J275" i="5" s="1"/>
  <c r="AI204" i="1"/>
  <c r="AJ204" i="1"/>
  <c r="CX204" i="1" s="1"/>
  <c r="CT204" i="1"/>
  <c r="CV204" i="1"/>
  <c r="FR204" i="1"/>
  <c r="GL204" i="1"/>
  <c r="GO204" i="1"/>
  <c r="GP204" i="1"/>
  <c r="GV204" i="1"/>
  <c r="HC204" i="1"/>
  <c r="B206" i="1"/>
  <c r="B199" i="1" s="1"/>
  <c r="C206" i="1"/>
  <c r="C199" i="1" s="1"/>
  <c r="D206" i="1"/>
  <c r="D199" i="1" s="1"/>
  <c r="F206" i="1"/>
  <c r="F199" i="1" s="1"/>
  <c r="G206" i="1"/>
  <c r="BX206" i="1"/>
  <c r="BX199" i="1" s="1"/>
  <c r="CC206" i="1"/>
  <c r="AT206" i="1" s="1"/>
  <c r="CK206" i="1"/>
  <c r="BB206" i="1" s="1"/>
  <c r="CL206" i="1"/>
  <c r="CL199" i="1" s="1"/>
  <c r="CM206" i="1"/>
  <c r="CM199" i="1" s="1"/>
  <c r="D236" i="1"/>
  <c r="E238" i="1"/>
  <c r="Z238" i="1"/>
  <c r="AA238" i="1"/>
  <c r="AM238" i="1"/>
  <c r="AN238" i="1"/>
  <c r="BE238" i="1"/>
  <c r="BF238" i="1"/>
  <c r="BG238" i="1"/>
  <c r="BH238" i="1"/>
  <c r="BI238" i="1"/>
  <c r="BJ238" i="1"/>
  <c r="BK238" i="1"/>
  <c r="BL238" i="1"/>
  <c r="BM238" i="1"/>
  <c r="BN238" i="1"/>
  <c r="BO238" i="1"/>
  <c r="BP238" i="1"/>
  <c r="BQ238" i="1"/>
  <c r="BR238" i="1"/>
  <c r="BS238" i="1"/>
  <c r="BT238" i="1"/>
  <c r="BU238" i="1"/>
  <c r="BV238" i="1"/>
  <c r="BW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EG238" i="1"/>
  <c r="EH238" i="1"/>
  <c r="EI238" i="1"/>
  <c r="EJ238" i="1"/>
  <c r="EK238" i="1"/>
  <c r="EL238" i="1"/>
  <c r="EM238" i="1"/>
  <c r="EN238" i="1"/>
  <c r="EO238" i="1"/>
  <c r="EP238" i="1"/>
  <c r="EQ238" i="1"/>
  <c r="ER238" i="1"/>
  <c r="ES238" i="1"/>
  <c r="ET238" i="1"/>
  <c r="EU238" i="1"/>
  <c r="EV238" i="1"/>
  <c r="EW238" i="1"/>
  <c r="EX238" i="1"/>
  <c r="EY238" i="1"/>
  <c r="EZ238" i="1"/>
  <c r="FA238" i="1"/>
  <c r="FB238" i="1"/>
  <c r="FC238" i="1"/>
  <c r="FD238" i="1"/>
  <c r="FE238" i="1"/>
  <c r="FF238" i="1"/>
  <c r="FG238" i="1"/>
  <c r="FH238" i="1"/>
  <c r="FI238" i="1"/>
  <c r="FJ238" i="1"/>
  <c r="FK238" i="1"/>
  <c r="FL238" i="1"/>
  <c r="FM238" i="1"/>
  <c r="FN238" i="1"/>
  <c r="FO238" i="1"/>
  <c r="FP238" i="1"/>
  <c r="FQ238" i="1"/>
  <c r="FR238" i="1"/>
  <c r="FS238" i="1"/>
  <c r="FT238" i="1"/>
  <c r="FU238" i="1"/>
  <c r="FV238" i="1"/>
  <c r="FW238" i="1"/>
  <c r="FX238" i="1"/>
  <c r="FY238" i="1"/>
  <c r="FZ238" i="1"/>
  <c r="GA238" i="1"/>
  <c r="GB238" i="1"/>
  <c r="GC238" i="1"/>
  <c r="GD238" i="1"/>
  <c r="GE238" i="1"/>
  <c r="GF238" i="1"/>
  <c r="GG238" i="1"/>
  <c r="GH238" i="1"/>
  <c r="GI238" i="1"/>
  <c r="GJ238" i="1"/>
  <c r="GK238" i="1"/>
  <c r="GL238" i="1"/>
  <c r="GM238" i="1"/>
  <c r="GN238" i="1"/>
  <c r="GO238" i="1"/>
  <c r="GP238" i="1"/>
  <c r="GQ238" i="1"/>
  <c r="GR238" i="1"/>
  <c r="GS238" i="1"/>
  <c r="GT238" i="1"/>
  <c r="GU238" i="1"/>
  <c r="GV238" i="1"/>
  <c r="GW238" i="1"/>
  <c r="GX238" i="1"/>
  <c r="C240" i="1"/>
  <c r="D240" i="1"/>
  <c r="AC240" i="1"/>
  <c r="AE240" i="1"/>
  <c r="AF240" i="1"/>
  <c r="CT240" i="1" s="1"/>
  <c r="AG240" i="1"/>
  <c r="CU240" i="1" s="1"/>
  <c r="AH240" i="1"/>
  <c r="J293" i="5" s="1"/>
  <c r="AI240" i="1"/>
  <c r="AJ240" i="1"/>
  <c r="CV240" i="1"/>
  <c r="CX240" i="1"/>
  <c r="FR240" i="1"/>
  <c r="GL240" i="1"/>
  <c r="GO240" i="1"/>
  <c r="GP240" i="1"/>
  <c r="CD245" i="1" s="1"/>
  <c r="CD238" i="1" s="1"/>
  <c r="GV240" i="1"/>
  <c r="HC240" i="1" s="1"/>
  <c r="I241" i="1"/>
  <c r="AC241" i="1"/>
  <c r="CQ241" i="1" s="1"/>
  <c r="P241" i="1" s="1"/>
  <c r="U304" i="5" s="1"/>
  <c r="AD241" i="1"/>
  <c r="AE241" i="1"/>
  <c r="F305" i="5" s="1"/>
  <c r="AF241" i="1"/>
  <c r="AG241" i="1"/>
  <c r="CU241" i="1" s="1"/>
  <c r="T241" i="1" s="1"/>
  <c r="AH241" i="1"/>
  <c r="AI241" i="1"/>
  <c r="J305" i="5" s="1"/>
  <c r="AJ241" i="1"/>
  <c r="CX241" i="1" s="1"/>
  <c r="W241" i="1" s="1"/>
  <c r="CS241" i="1"/>
  <c r="R241" i="1" s="1"/>
  <c r="CW241" i="1"/>
  <c r="V241" i="1" s="1"/>
  <c r="FR241" i="1"/>
  <c r="BY245" i="1" s="1"/>
  <c r="GL241" i="1"/>
  <c r="BZ245" i="1" s="1"/>
  <c r="BZ238" i="1" s="1"/>
  <c r="GO241" i="1"/>
  <c r="GP241" i="1"/>
  <c r="GV241" i="1"/>
  <c r="HC241" i="1" s="1"/>
  <c r="GX241" i="1" s="1"/>
  <c r="C242" i="1"/>
  <c r="D242" i="1"/>
  <c r="AC242" i="1"/>
  <c r="AE242" i="1"/>
  <c r="AF242" i="1"/>
  <c r="AG242" i="1"/>
  <c r="CU242" i="1" s="1"/>
  <c r="AH242" i="1"/>
  <c r="J306" i="5" s="1"/>
  <c r="AI242" i="1"/>
  <c r="AJ242" i="1"/>
  <c r="CT242" i="1"/>
  <c r="CV242" i="1"/>
  <c r="CX242" i="1"/>
  <c r="FR242" i="1"/>
  <c r="GL242" i="1"/>
  <c r="GO242" i="1"/>
  <c r="GP242" i="1"/>
  <c r="GV242" i="1"/>
  <c r="HC242" i="1"/>
  <c r="C243" i="1"/>
  <c r="D243" i="1"/>
  <c r="AC243" i="1"/>
  <c r="AE243" i="1"/>
  <c r="F318" i="5" s="1"/>
  <c r="AF243" i="1"/>
  <c r="AG243" i="1"/>
  <c r="AH243" i="1"/>
  <c r="AI243" i="1"/>
  <c r="J318" i="5" s="1"/>
  <c r="AJ243" i="1"/>
  <c r="CX243" i="1" s="1"/>
  <c r="CQ243" i="1"/>
  <c r="CU243" i="1"/>
  <c r="FR243" i="1"/>
  <c r="GL243" i="1"/>
  <c r="GO243" i="1"/>
  <c r="GP243" i="1"/>
  <c r="GV243" i="1"/>
  <c r="HC243" i="1"/>
  <c r="B245" i="1"/>
  <c r="B238" i="1" s="1"/>
  <c r="C245" i="1"/>
  <c r="C238" i="1" s="1"/>
  <c r="D245" i="1"/>
  <c r="D238" i="1" s="1"/>
  <c r="F245" i="1"/>
  <c r="F238" i="1" s="1"/>
  <c r="G245" i="1"/>
  <c r="C329" i="5" s="1"/>
  <c r="BX245" i="1"/>
  <c r="BX238" i="1" s="1"/>
  <c r="CK245" i="1"/>
  <c r="CK238" i="1" s="1"/>
  <c r="CL245" i="1"/>
  <c r="CL238" i="1" s="1"/>
  <c r="CM245" i="1"/>
  <c r="CM238" i="1" s="1"/>
  <c r="D275" i="1"/>
  <c r="E277" i="1"/>
  <c r="Z277" i="1"/>
  <c r="AA277" i="1"/>
  <c r="AM277" i="1"/>
  <c r="AN277" i="1"/>
  <c r="BE277" i="1"/>
  <c r="BF277" i="1"/>
  <c r="BG277" i="1"/>
  <c r="BH277" i="1"/>
  <c r="BI277" i="1"/>
  <c r="BJ277" i="1"/>
  <c r="BK277" i="1"/>
  <c r="BL277" i="1"/>
  <c r="BM277" i="1"/>
  <c r="BN277" i="1"/>
  <c r="BO277" i="1"/>
  <c r="BP277" i="1"/>
  <c r="BQ277" i="1"/>
  <c r="BR277" i="1"/>
  <c r="BS277" i="1"/>
  <c r="BT277" i="1"/>
  <c r="BU277" i="1"/>
  <c r="BV277" i="1"/>
  <c r="BW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EG277" i="1"/>
  <c r="EH277" i="1"/>
  <c r="EI277" i="1"/>
  <c r="EJ277" i="1"/>
  <c r="EK277" i="1"/>
  <c r="EL277" i="1"/>
  <c r="EM277" i="1"/>
  <c r="EN277" i="1"/>
  <c r="EO277" i="1"/>
  <c r="EP277" i="1"/>
  <c r="EQ277" i="1"/>
  <c r="ER277" i="1"/>
  <c r="ES277" i="1"/>
  <c r="ET277" i="1"/>
  <c r="EU277" i="1"/>
  <c r="EV277" i="1"/>
  <c r="EW277" i="1"/>
  <c r="EX277" i="1"/>
  <c r="EY277" i="1"/>
  <c r="EZ277" i="1"/>
  <c r="FA277" i="1"/>
  <c r="FB277" i="1"/>
  <c r="FC277" i="1"/>
  <c r="FD277" i="1"/>
  <c r="FE277" i="1"/>
  <c r="FF277" i="1"/>
  <c r="FG277" i="1"/>
  <c r="FH277" i="1"/>
  <c r="FI277" i="1"/>
  <c r="FJ277" i="1"/>
  <c r="FK277" i="1"/>
  <c r="FL277" i="1"/>
  <c r="FM277" i="1"/>
  <c r="FN277" i="1"/>
  <c r="FO277" i="1"/>
  <c r="FP277" i="1"/>
  <c r="FQ277" i="1"/>
  <c r="FR277" i="1"/>
  <c r="FS277" i="1"/>
  <c r="FT277" i="1"/>
  <c r="FU277" i="1"/>
  <c r="FV277" i="1"/>
  <c r="FW277" i="1"/>
  <c r="FX277" i="1"/>
  <c r="FY277" i="1"/>
  <c r="FZ277" i="1"/>
  <c r="GA277" i="1"/>
  <c r="GB277" i="1"/>
  <c r="GC277" i="1"/>
  <c r="GD277" i="1"/>
  <c r="GE277" i="1"/>
  <c r="GF277" i="1"/>
  <c r="GG277" i="1"/>
  <c r="GH277" i="1"/>
  <c r="GI277" i="1"/>
  <c r="GJ277" i="1"/>
  <c r="GK277" i="1"/>
  <c r="GL277" i="1"/>
  <c r="GM277" i="1"/>
  <c r="GN277" i="1"/>
  <c r="GO277" i="1"/>
  <c r="GP277" i="1"/>
  <c r="GQ277" i="1"/>
  <c r="GR277" i="1"/>
  <c r="GS277" i="1"/>
  <c r="GT277" i="1"/>
  <c r="GU277" i="1"/>
  <c r="GV277" i="1"/>
  <c r="GW277" i="1"/>
  <c r="GX277" i="1"/>
  <c r="C279" i="1"/>
  <c r="D279" i="1"/>
  <c r="I279" i="1"/>
  <c r="AC279" i="1"/>
  <c r="AE279" i="1"/>
  <c r="F336" i="5" s="1"/>
  <c r="AF279" i="1"/>
  <c r="AG279" i="1"/>
  <c r="AH279" i="1"/>
  <c r="AI279" i="1"/>
  <c r="J336" i="5" s="1"/>
  <c r="AJ279" i="1"/>
  <c r="CX279" i="1" s="1"/>
  <c r="W279" i="1" s="1"/>
  <c r="CQ279" i="1"/>
  <c r="CU279" i="1"/>
  <c r="T279" i="1" s="1"/>
  <c r="FR279" i="1"/>
  <c r="GL279" i="1"/>
  <c r="GO279" i="1"/>
  <c r="GP279" i="1"/>
  <c r="CD296" i="1" s="1"/>
  <c r="CD277" i="1" s="1"/>
  <c r="GV279" i="1"/>
  <c r="HC279" i="1"/>
  <c r="C280" i="1"/>
  <c r="D280" i="1"/>
  <c r="I280" i="1"/>
  <c r="AC280" i="1"/>
  <c r="AE280" i="1"/>
  <c r="AF280" i="1"/>
  <c r="CT280" i="1" s="1"/>
  <c r="S280" i="1" s="1"/>
  <c r="AG280" i="1"/>
  <c r="CU280" i="1" s="1"/>
  <c r="T280" i="1" s="1"/>
  <c r="AH280" i="1"/>
  <c r="J347" i="5" s="1"/>
  <c r="AI280" i="1"/>
  <c r="AJ280" i="1"/>
  <c r="CV280" i="1"/>
  <c r="U280" i="1" s="1"/>
  <c r="CX280" i="1"/>
  <c r="W280" i="1" s="1"/>
  <c r="FR280" i="1"/>
  <c r="GL280" i="1"/>
  <c r="GO280" i="1"/>
  <c r="GP280" i="1"/>
  <c r="GV280" i="1"/>
  <c r="HC280" i="1" s="1"/>
  <c r="GX280" i="1" s="1"/>
  <c r="C281" i="1"/>
  <c r="D281" i="1"/>
  <c r="I281" i="1"/>
  <c r="AC281" i="1"/>
  <c r="AD281" i="1"/>
  <c r="AE281" i="1"/>
  <c r="F360" i="5" s="1"/>
  <c r="AF281" i="1"/>
  <c r="AG281" i="1"/>
  <c r="AH281" i="1"/>
  <c r="AI281" i="1"/>
  <c r="J360" i="5" s="1"/>
  <c r="AJ281" i="1"/>
  <c r="CX281" i="1" s="1"/>
  <c r="W281" i="1" s="1"/>
  <c r="CQ281" i="1"/>
  <c r="P281" i="1" s="1"/>
  <c r="U359" i="5" s="1"/>
  <c r="CS281" i="1"/>
  <c r="R281" i="1" s="1"/>
  <c r="CU281" i="1"/>
  <c r="T281" i="1" s="1"/>
  <c r="FR281" i="1"/>
  <c r="GL281" i="1"/>
  <c r="BZ296" i="1" s="1"/>
  <c r="BZ277" i="1" s="1"/>
  <c r="GO281" i="1"/>
  <c r="GP281" i="1"/>
  <c r="GV281" i="1"/>
  <c r="HC281" i="1"/>
  <c r="GX281" i="1" s="1"/>
  <c r="AC282" i="1"/>
  <c r="AD282" i="1"/>
  <c r="AE282" i="1"/>
  <c r="F366" i="5" s="1"/>
  <c r="AF282" i="1"/>
  <c r="AG282" i="1"/>
  <c r="CU282" i="1" s="1"/>
  <c r="T282" i="1" s="1"/>
  <c r="AH282" i="1"/>
  <c r="AI282" i="1"/>
  <c r="J366" i="5" s="1"/>
  <c r="AJ282" i="1"/>
  <c r="CX282" i="1" s="1"/>
  <c r="W282" i="1" s="1"/>
  <c r="CQ282" i="1"/>
  <c r="P282" i="1" s="1"/>
  <c r="U365" i="5" s="1"/>
  <c r="CW282" i="1"/>
  <c r="V282" i="1" s="1"/>
  <c r="FR282" i="1"/>
  <c r="GL282" i="1"/>
  <c r="GO282" i="1"/>
  <c r="GP282" i="1"/>
  <c r="GV282" i="1"/>
  <c r="HC282" i="1" s="1"/>
  <c r="GX282" i="1" s="1"/>
  <c r="AC283" i="1"/>
  <c r="AD283" i="1"/>
  <c r="F367" i="5" s="1"/>
  <c r="AE283" i="1"/>
  <c r="AF283" i="1"/>
  <c r="E368" i="5" s="1"/>
  <c r="AG283" i="1"/>
  <c r="CU283" i="1" s="1"/>
  <c r="T283" i="1" s="1"/>
  <c r="AH283" i="1"/>
  <c r="J367" i="5" s="1"/>
  <c r="AI283" i="1"/>
  <c r="AJ283" i="1"/>
  <c r="CT283" i="1"/>
  <c r="S283" i="1" s="1"/>
  <c r="CX283" i="1"/>
  <c r="W283" i="1" s="1"/>
  <c r="FR283" i="1"/>
  <c r="GL283" i="1"/>
  <c r="GO283" i="1"/>
  <c r="GP283" i="1"/>
  <c r="GV283" i="1"/>
  <c r="GX283" i="1"/>
  <c r="HC283" i="1"/>
  <c r="C284" i="1"/>
  <c r="D284" i="1"/>
  <c r="I284" i="1"/>
  <c r="AC284" i="1"/>
  <c r="AE284" i="1"/>
  <c r="AF284" i="1"/>
  <c r="AG284" i="1"/>
  <c r="CU284" i="1" s="1"/>
  <c r="T284" i="1" s="1"/>
  <c r="AH284" i="1"/>
  <c r="J369" i="5" s="1"/>
  <c r="AI284" i="1"/>
  <c r="AJ284" i="1"/>
  <c r="CX284" i="1" s="1"/>
  <c r="W284" i="1" s="1"/>
  <c r="CT284" i="1"/>
  <c r="S284" i="1" s="1"/>
  <c r="CV284" i="1"/>
  <c r="FR284" i="1"/>
  <c r="GL284" i="1"/>
  <c r="GO284" i="1"/>
  <c r="GP284" i="1"/>
  <c r="GV284" i="1"/>
  <c r="GX284" i="1"/>
  <c r="HC284" i="1"/>
  <c r="C285" i="1"/>
  <c r="D285" i="1"/>
  <c r="I285" i="1"/>
  <c r="AC285" i="1"/>
  <c r="AE285" i="1"/>
  <c r="F381" i="5" s="1"/>
  <c r="AF285" i="1"/>
  <c r="AG285" i="1"/>
  <c r="CU285" i="1" s="1"/>
  <c r="T285" i="1" s="1"/>
  <c r="AH285" i="1"/>
  <c r="AI285" i="1"/>
  <c r="J381" i="5" s="1"/>
  <c r="AJ285" i="1"/>
  <c r="CX285" i="1" s="1"/>
  <c r="W285" i="1" s="1"/>
  <c r="CQ285" i="1"/>
  <c r="CW285" i="1"/>
  <c r="V285" i="1" s="1"/>
  <c r="FR285" i="1"/>
  <c r="GL285" i="1"/>
  <c r="GO285" i="1"/>
  <c r="GP285" i="1"/>
  <c r="GV285" i="1"/>
  <c r="HC285" i="1" s="1"/>
  <c r="GX285" i="1" s="1"/>
  <c r="C286" i="1"/>
  <c r="D286" i="1"/>
  <c r="I286" i="1"/>
  <c r="I288" i="1" s="1"/>
  <c r="AC286" i="1"/>
  <c r="AE286" i="1"/>
  <c r="AF286" i="1"/>
  <c r="AG286" i="1"/>
  <c r="CU286" i="1" s="1"/>
  <c r="T286" i="1" s="1"/>
  <c r="AH286" i="1"/>
  <c r="J390" i="5" s="1"/>
  <c r="AI286" i="1"/>
  <c r="AJ286" i="1"/>
  <c r="CX286" i="1" s="1"/>
  <c r="W286" i="1" s="1"/>
  <c r="CV286" i="1"/>
  <c r="FR286" i="1"/>
  <c r="GL286" i="1"/>
  <c r="GO286" i="1"/>
  <c r="GP286" i="1"/>
  <c r="GV286" i="1"/>
  <c r="HC286" i="1" s="1"/>
  <c r="GX286" i="1" s="1"/>
  <c r="AC287" i="1"/>
  <c r="CQ287" i="1" s="1"/>
  <c r="AD287" i="1"/>
  <c r="AE287" i="1"/>
  <c r="F402" i="5" s="1"/>
  <c r="AF287" i="1"/>
  <c r="AG287" i="1"/>
  <c r="CU287" i="1" s="1"/>
  <c r="AH287" i="1"/>
  <c r="AI287" i="1"/>
  <c r="J402" i="5" s="1"/>
  <c r="AJ287" i="1"/>
  <c r="CX287" i="1" s="1"/>
  <c r="CS287" i="1"/>
  <c r="CW287" i="1"/>
  <c r="FR287" i="1"/>
  <c r="GL287" i="1"/>
  <c r="GO287" i="1"/>
  <c r="GP287" i="1"/>
  <c r="GV287" i="1"/>
  <c r="HC287" i="1" s="1"/>
  <c r="AC288" i="1"/>
  <c r="AE288" i="1"/>
  <c r="AF288" i="1"/>
  <c r="E404" i="5" s="1"/>
  <c r="AG288" i="1"/>
  <c r="CU288" i="1" s="1"/>
  <c r="AH288" i="1"/>
  <c r="J403" i="5" s="1"/>
  <c r="AI288" i="1"/>
  <c r="AJ288" i="1"/>
  <c r="CV288" i="1"/>
  <c r="CX288" i="1"/>
  <c r="FR288" i="1"/>
  <c r="GL288" i="1"/>
  <c r="GO288" i="1"/>
  <c r="GP288" i="1"/>
  <c r="GV288" i="1"/>
  <c r="HC288" i="1" s="1"/>
  <c r="C289" i="1"/>
  <c r="D289" i="1"/>
  <c r="I289" i="1"/>
  <c r="AC289" i="1"/>
  <c r="AD289" i="1"/>
  <c r="AE289" i="1"/>
  <c r="F406" i="5" s="1"/>
  <c r="AF289" i="1"/>
  <c r="AG289" i="1"/>
  <c r="AH289" i="1"/>
  <c r="AI289" i="1"/>
  <c r="J406" i="5" s="1"/>
  <c r="AJ289" i="1"/>
  <c r="CX289" i="1" s="1"/>
  <c r="W289" i="1" s="1"/>
  <c r="CQ289" i="1"/>
  <c r="P289" i="1" s="1"/>
  <c r="U405" i="5" s="1"/>
  <c r="CS289" i="1"/>
  <c r="R289" i="1" s="1"/>
  <c r="CU289" i="1"/>
  <c r="T289" i="1" s="1"/>
  <c r="FR289" i="1"/>
  <c r="GL289" i="1"/>
  <c r="GO289" i="1"/>
  <c r="GP289" i="1"/>
  <c r="GV289" i="1"/>
  <c r="HC289" i="1" s="1"/>
  <c r="GX289" i="1" s="1"/>
  <c r="AC290" i="1"/>
  <c r="AE290" i="1"/>
  <c r="F417" i="5" s="1"/>
  <c r="AF290" i="1"/>
  <c r="E417" i="5" s="1"/>
  <c r="AG290" i="1"/>
  <c r="CU290" i="1" s="1"/>
  <c r="AH290" i="1"/>
  <c r="J416" i="5" s="1"/>
  <c r="AI290" i="1"/>
  <c r="AJ290" i="1"/>
  <c r="CX290" i="1" s="1"/>
  <c r="CT290" i="1"/>
  <c r="CV290" i="1"/>
  <c r="FR290" i="1"/>
  <c r="GL290" i="1"/>
  <c r="GO290" i="1"/>
  <c r="GP290" i="1"/>
  <c r="GV290" i="1"/>
  <c r="HC290" i="1"/>
  <c r="I291" i="1"/>
  <c r="AC291" i="1"/>
  <c r="AD291" i="1"/>
  <c r="AE291" i="1"/>
  <c r="F419" i="5" s="1"/>
  <c r="AF291" i="1"/>
  <c r="AG291" i="1"/>
  <c r="AH291" i="1"/>
  <c r="AI291" i="1"/>
  <c r="J419" i="5" s="1"/>
  <c r="AJ291" i="1"/>
  <c r="CX291" i="1" s="1"/>
  <c r="W291" i="1" s="1"/>
  <c r="CQ291" i="1"/>
  <c r="P291" i="1" s="1"/>
  <c r="CS291" i="1"/>
  <c r="R291" i="1" s="1"/>
  <c r="CU291" i="1"/>
  <c r="T291" i="1" s="1"/>
  <c r="FR291" i="1"/>
  <c r="GL291" i="1"/>
  <c r="GO291" i="1"/>
  <c r="GP291" i="1"/>
  <c r="GV291" i="1"/>
  <c r="HC291" i="1"/>
  <c r="GX291" i="1" s="1"/>
  <c r="AC292" i="1"/>
  <c r="AE292" i="1"/>
  <c r="F421" i="5" s="1"/>
  <c r="AF292" i="1"/>
  <c r="E421" i="5" s="1"/>
  <c r="AG292" i="1"/>
  <c r="CU292" i="1" s="1"/>
  <c r="AH292" i="1"/>
  <c r="J420" i="5" s="1"/>
  <c r="AI292" i="1"/>
  <c r="AJ292" i="1"/>
  <c r="CX292" i="1" s="1"/>
  <c r="CT292" i="1"/>
  <c r="CV292" i="1"/>
  <c r="FR292" i="1"/>
  <c r="GL292" i="1"/>
  <c r="GO292" i="1"/>
  <c r="GP292" i="1"/>
  <c r="GV292" i="1"/>
  <c r="HC292" i="1"/>
  <c r="C293" i="1"/>
  <c r="D293" i="1"/>
  <c r="I293" i="1"/>
  <c r="AC293" i="1"/>
  <c r="CQ293" i="1" s="1"/>
  <c r="P293" i="1" s="1"/>
  <c r="AD293" i="1"/>
  <c r="AE293" i="1"/>
  <c r="F423" i="5" s="1"/>
  <c r="AF293" i="1"/>
  <c r="AG293" i="1"/>
  <c r="CU293" i="1" s="1"/>
  <c r="T293" i="1" s="1"/>
  <c r="AH293" i="1"/>
  <c r="AI293" i="1"/>
  <c r="J423" i="5" s="1"/>
  <c r="AJ293" i="1"/>
  <c r="CX293" i="1" s="1"/>
  <c r="W293" i="1" s="1"/>
  <c r="CS293" i="1"/>
  <c r="R293" i="1" s="1"/>
  <c r="CW293" i="1"/>
  <c r="V293" i="1" s="1"/>
  <c r="FR293" i="1"/>
  <c r="GL293" i="1"/>
  <c r="GO293" i="1"/>
  <c r="GP293" i="1"/>
  <c r="GV293" i="1"/>
  <c r="HC293" i="1" s="1"/>
  <c r="GX293" i="1" s="1"/>
  <c r="C294" i="1"/>
  <c r="D294" i="1"/>
  <c r="AC294" i="1"/>
  <c r="CQ294" i="1" s="1"/>
  <c r="P294" i="1" s="1"/>
  <c r="AD294" i="1"/>
  <c r="AE294" i="1"/>
  <c r="F434" i="5" s="1"/>
  <c r="AF294" i="1"/>
  <c r="AG294" i="1"/>
  <c r="CU294" i="1" s="1"/>
  <c r="T294" i="1" s="1"/>
  <c r="AH294" i="1"/>
  <c r="AI294" i="1"/>
  <c r="J434" i="5" s="1"/>
  <c r="AJ294" i="1"/>
  <c r="CX294" i="1" s="1"/>
  <c r="W294" i="1" s="1"/>
  <c r="CS294" i="1"/>
  <c r="R294" i="1" s="1"/>
  <c r="CW294" i="1"/>
  <c r="V294" i="1" s="1"/>
  <c r="FR294" i="1"/>
  <c r="GL294" i="1"/>
  <c r="GO294" i="1"/>
  <c r="GP294" i="1"/>
  <c r="GV294" i="1"/>
  <c r="HC294" i="1" s="1"/>
  <c r="GX294" i="1" s="1"/>
  <c r="B296" i="1"/>
  <c r="B277" i="1" s="1"/>
  <c r="C296" i="1"/>
  <c r="C277" i="1" s="1"/>
  <c r="D296" i="1"/>
  <c r="D277" i="1" s="1"/>
  <c r="F296" i="1"/>
  <c r="F277" i="1" s="1"/>
  <c r="G296" i="1"/>
  <c r="BX296" i="1"/>
  <c r="CK296" i="1"/>
  <c r="CK277" i="1" s="1"/>
  <c r="CL296" i="1"/>
  <c r="CL277" i="1" s="1"/>
  <c r="B326" i="1"/>
  <c r="B26" i="1" s="1"/>
  <c r="C326" i="1"/>
  <c r="C26" i="1" s="1"/>
  <c r="D326" i="1"/>
  <c r="D26" i="1" s="1"/>
  <c r="F326" i="1"/>
  <c r="F26" i="1" s="1"/>
  <c r="G326" i="1"/>
  <c r="G26" i="1" s="1"/>
  <c r="B363" i="1"/>
  <c r="B22" i="1" s="1"/>
  <c r="C363" i="1"/>
  <c r="C22" i="1" s="1"/>
  <c r="D363" i="1"/>
  <c r="D22" i="1" s="1"/>
  <c r="F363" i="1"/>
  <c r="F22" i="1" s="1"/>
  <c r="G363" i="1"/>
  <c r="B398" i="1"/>
  <c r="B18" i="1" s="1"/>
  <c r="C398" i="1"/>
  <c r="C18" i="1" s="1"/>
  <c r="D398" i="1"/>
  <c r="D18" i="1" s="1"/>
  <c r="F398" i="1"/>
  <c r="F18" i="1" s="1"/>
  <c r="G398" i="1"/>
  <c r="G18" i="1" s="1"/>
  <c r="D66" i="6" l="1"/>
  <c r="D403" i="5"/>
  <c r="X168" i="5"/>
  <c r="I169" i="5"/>
  <c r="CZ120" i="1"/>
  <c r="Y120" i="1" s="1"/>
  <c r="U422" i="5"/>
  <c r="GX287" i="1"/>
  <c r="K166" i="5"/>
  <c r="Y166" i="5"/>
  <c r="H153" i="5"/>
  <c r="V153" i="5"/>
  <c r="U433" i="5"/>
  <c r="GX288" i="1"/>
  <c r="T287" i="1"/>
  <c r="V347" i="5"/>
  <c r="H347" i="5"/>
  <c r="CP120" i="1"/>
  <c r="O120" i="1" s="1"/>
  <c r="U168" i="5"/>
  <c r="BZ30" i="1"/>
  <c r="CG40" i="1"/>
  <c r="CG30" i="1" s="1"/>
  <c r="I419" i="5"/>
  <c r="X418" i="5"/>
  <c r="T290" i="1"/>
  <c r="I406" i="5"/>
  <c r="X405" i="5"/>
  <c r="AD288" i="1"/>
  <c r="F404" i="5"/>
  <c r="CT285" i="1"/>
  <c r="S285" i="1" s="1"/>
  <c r="E388" i="5"/>
  <c r="E387" i="5"/>
  <c r="E381" i="5"/>
  <c r="V369" i="5"/>
  <c r="H369" i="5"/>
  <c r="K366" i="5"/>
  <c r="Z365" i="5"/>
  <c r="AD280" i="1"/>
  <c r="F348" i="5"/>
  <c r="AB242" i="1"/>
  <c r="E306" i="5" s="1"/>
  <c r="CW240" i="1"/>
  <c r="J294" i="5"/>
  <c r="CX109" i="3"/>
  <c r="D47" i="6"/>
  <c r="D251" i="5"/>
  <c r="C253" i="5"/>
  <c r="CS164" i="1"/>
  <c r="F240" i="5"/>
  <c r="I216" i="5"/>
  <c r="X215" i="5"/>
  <c r="AD122" i="1"/>
  <c r="F183" i="5"/>
  <c r="K181" i="5"/>
  <c r="Z180" i="5"/>
  <c r="CV118" i="1"/>
  <c r="U118" i="1" s="1"/>
  <c r="J164" i="5"/>
  <c r="CT114" i="1"/>
  <c r="S114" i="1" s="1"/>
  <c r="E120" i="5"/>
  <c r="E128" i="5"/>
  <c r="E127" i="5"/>
  <c r="E117" i="5"/>
  <c r="E116" i="5"/>
  <c r="E109" i="5"/>
  <c r="X84" i="5"/>
  <c r="I85" i="5"/>
  <c r="CW109" i="1"/>
  <c r="J83" i="5"/>
  <c r="CT32" i="1"/>
  <c r="S32" i="1" s="1"/>
  <c r="E27" i="5"/>
  <c r="E30" i="5"/>
  <c r="E29" i="5"/>
  <c r="BC296" i="1"/>
  <c r="BC277" i="1" s="1"/>
  <c r="CT293" i="1"/>
  <c r="S293" i="1" s="1"/>
  <c r="E431" i="5"/>
  <c r="E430" i="5"/>
  <c r="E423" i="5"/>
  <c r="U288" i="1"/>
  <c r="V287" i="1"/>
  <c r="CT287" i="1"/>
  <c r="E402" i="5"/>
  <c r="I287" i="1"/>
  <c r="AD286" i="1"/>
  <c r="F391" i="5"/>
  <c r="E378" i="5"/>
  <c r="E377" i="5"/>
  <c r="E370" i="5"/>
  <c r="CR283" i="1"/>
  <c r="Q283" i="1" s="1"/>
  <c r="AB283" i="1"/>
  <c r="E367" i="5" s="1"/>
  <c r="K347" i="5"/>
  <c r="Y347" i="5"/>
  <c r="AB280" i="1"/>
  <c r="E347" i="5" s="1"/>
  <c r="GX279" i="1"/>
  <c r="CS279" i="1"/>
  <c r="R279" i="1" s="1"/>
  <c r="CV279" i="1"/>
  <c r="U279" i="1" s="1"/>
  <c r="J335" i="5"/>
  <c r="AD279" i="1"/>
  <c r="CS243" i="1"/>
  <c r="CV243" i="1"/>
  <c r="J317" i="5"/>
  <c r="AD243" i="1"/>
  <c r="K305" i="5"/>
  <c r="Z304" i="5"/>
  <c r="CT241" i="1"/>
  <c r="S241" i="1" s="1"/>
  <c r="E305" i="5"/>
  <c r="I240" i="1"/>
  <c r="D53" i="6"/>
  <c r="D304" i="5"/>
  <c r="E284" i="5"/>
  <c r="E283" i="5"/>
  <c r="E276" i="5"/>
  <c r="CW202" i="1"/>
  <c r="V202" i="1" s="1"/>
  <c r="J263" i="5"/>
  <c r="D48" i="6"/>
  <c r="D262" i="5"/>
  <c r="BC167" i="1"/>
  <c r="BC156" i="1" s="1"/>
  <c r="CT164" i="1"/>
  <c r="S164" i="1" s="1"/>
  <c r="Z228" i="5"/>
  <c r="K229" i="5"/>
  <c r="CT163" i="1"/>
  <c r="S163" i="1" s="1"/>
  <c r="E229" i="5"/>
  <c r="E237" i="5"/>
  <c r="E236" i="5"/>
  <c r="CX108" i="3"/>
  <c r="D43" i="6"/>
  <c r="C230" i="5"/>
  <c r="D228" i="5"/>
  <c r="BY167" i="1"/>
  <c r="CI167" i="1" s="1"/>
  <c r="CS159" i="1"/>
  <c r="CV159" i="1"/>
  <c r="J202" i="5"/>
  <c r="AD159" i="1"/>
  <c r="G106" i="1"/>
  <c r="C185" i="5"/>
  <c r="CY120" i="1"/>
  <c r="X120" i="1" s="1"/>
  <c r="V168" i="5"/>
  <c r="H168" i="5"/>
  <c r="E178" i="5"/>
  <c r="E177" i="5"/>
  <c r="E169" i="5"/>
  <c r="Z168" i="5"/>
  <c r="K169" i="5"/>
  <c r="CW119" i="1"/>
  <c r="V119" i="1" s="1"/>
  <c r="J167" i="5"/>
  <c r="U164" i="5"/>
  <c r="E163" i="5"/>
  <c r="E162" i="5"/>
  <c r="E161" i="5"/>
  <c r="E154" i="5"/>
  <c r="GX116" i="1"/>
  <c r="CS116" i="1"/>
  <c r="CV116" i="1"/>
  <c r="J142" i="5"/>
  <c r="AD116" i="1"/>
  <c r="AB116" i="1" s="1"/>
  <c r="CW115" i="1"/>
  <c r="J131" i="5"/>
  <c r="T114" i="1"/>
  <c r="CW113" i="1"/>
  <c r="J109" i="5"/>
  <c r="AD113" i="1"/>
  <c r="F109" i="5"/>
  <c r="CS112" i="1"/>
  <c r="CV112" i="1"/>
  <c r="J106" i="5"/>
  <c r="AD112" i="1"/>
  <c r="V95" i="5"/>
  <c r="H95" i="5"/>
  <c r="D30" i="6"/>
  <c r="D95" i="5"/>
  <c r="C97" i="5"/>
  <c r="Z71" i="5"/>
  <c r="K72" i="5"/>
  <c r="CT108" i="1"/>
  <c r="S108" i="1" s="1"/>
  <c r="E72" i="5"/>
  <c r="E79" i="5"/>
  <c r="E80" i="5"/>
  <c r="D27" i="6"/>
  <c r="C73" i="5"/>
  <c r="D71" i="5"/>
  <c r="F93" i="1"/>
  <c r="F77" i="1"/>
  <c r="AB36" i="1"/>
  <c r="E55" i="5" s="1"/>
  <c r="CT35" i="1"/>
  <c r="S35" i="1" s="1"/>
  <c r="E53" i="5"/>
  <c r="E45" i="5"/>
  <c r="E52" i="5"/>
  <c r="E42" i="5"/>
  <c r="E41" i="5"/>
  <c r="E39" i="5"/>
  <c r="K33" i="5"/>
  <c r="Z32" i="5"/>
  <c r="CT33" i="1"/>
  <c r="S33" i="1" s="1"/>
  <c r="E36" i="5"/>
  <c r="E33" i="5"/>
  <c r="E35" i="5"/>
  <c r="D19" i="6"/>
  <c r="C34" i="5"/>
  <c r="D32" i="5"/>
  <c r="R32" i="1"/>
  <c r="CR291" i="1"/>
  <c r="Q291" i="1" s="1"/>
  <c r="F418" i="5"/>
  <c r="S290" i="1"/>
  <c r="CV289" i="1"/>
  <c r="U289" i="1" s="1"/>
  <c r="J405" i="5"/>
  <c r="CW288" i="1"/>
  <c r="V288" i="1" s="1"/>
  <c r="J404" i="5"/>
  <c r="E391" i="5"/>
  <c r="E398" i="5"/>
  <c r="E399" i="5"/>
  <c r="Z380" i="5"/>
  <c r="K381" i="5"/>
  <c r="D380" i="5"/>
  <c r="D63" i="6"/>
  <c r="V367" i="5"/>
  <c r="H367" i="5"/>
  <c r="AB281" i="1"/>
  <c r="E359" i="5" s="1"/>
  <c r="F359" i="5"/>
  <c r="CW280" i="1"/>
  <c r="V280" i="1" s="1"/>
  <c r="J348" i="5"/>
  <c r="CT201" i="1"/>
  <c r="S201" i="1" s="1"/>
  <c r="E260" i="5"/>
  <c r="E259" i="5"/>
  <c r="E252" i="5"/>
  <c r="CW164" i="1"/>
  <c r="J240" i="5"/>
  <c r="AB161" i="1"/>
  <c r="E215" i="5" s="1"/>
  <c r="F215" i="5"/>
  <c r="CW122" i="1"/>
  <c r="J183" i="5"/>
  <c r="CT121" i="1"/>
  <c r="S121" i="1" s="1"/>
  <c r="E181" i="5"/>
  <c r="D36" i="6"/>
  <c r="D166" i="5"/>
  <c r="CR118" i="1"/>
  <c r="Q118" i="1" s="1"/>
  <c r="F164" i="5"/>
  <c r="CV110" i="1"/>
  <c r="U110" i="1" s="1"/>
  <c r="J84" i="5"/>
  <c r="AD109" i="1"/>
  <c r="F83" i="5"/>
  <c r="CV38" i="1"/>
  <c r="J61" i="5"/>
  <c r="CR36" i="1"/>
  <c r="D20" i="6"/>
  <c r="C40" i="5"/>
  <c r="D38" i="5"/>
  <c r="D18" i="6"/>
  <c r="C28" i="5"/>
  <c r="D26" i="5"/>
  <c r="K434" i="5"/>
  <c r="Z433" i="5"/>
  <c r="CT294" i="1"/>
  <c r="S294" i="1" s="1"/>
  <c r="E434" i="5"/>
  <c r="E440" i="5"/>
  <c r="E441" i="5"/>
  <c r="E442" i="5"/>
  <c r="K423" i="5"/>
  <c r="Z422" i="5"/>
  <c r="D71" i="6"/>
  <c r="D422" i="5"/>
  <c r="C424" i="5"/>
  <c r="U418" i="5"/>
  <c r="W287" i="1"/>
  <c r="CW286" i="1"/>
  <c r="V286" i="1" s="1"/>
  <c r="J391" i="5"/>
  <c r="G22" i="1"/>
  <c r="C450" i="5"/>
  <c r="G277" i="1"/>
  <c r="AG444" i="5"/>
  <c r="C444" i="5"/>
  <c r="CW292" i="1"/>
  <c r="J421" i="5"/>
  <c r="CW291" i="1"/>
  <c r="V291" i="1" s="1"/>
  <c r="CT291" i="1"/>
  <c r="S291" i="1" s="1"/>
  <c r="E419" i="5"/>
  <c r="D418" i="5"/>
  <c r="D69" i="6"/>
  <c r="CW290" i="1"/>
  <c r="J417" i="5"/>
  <c r="CW289" i="1"/>
  <c r="V289" i="1" s="1"/>
  <c r="CT289" i="1"/>
  <c r="S289" i="1" s="1"/>
  <c r="E414" i="5"/>
  <c r="E413" i="5"/>
  <c r="E406" i="5"/>
  <c r="I290" i="1"/>
  <c r="D405" i="5"/>
  <c r="D67" i="6"/>
  <c r="C407" i="5"/>
  <c r="CT288" i="1"/>
  <c r="S288" i="1" s="1"/>
  <c r="T288" i="1"/>
  <c r="U286" i="1"/>
  <c r="CS285" i="1"/>
  <c r="R285" i="1" s="1"/>
  <c r="CV285" i="1"/>
  <c r="U285" i="1" s="1"/>
  <c r="J380" i="5"/>
  <c r="AD285" i="1"/>
  <c r="CW284" i="1"/>
  <c r="V284" i="1" s="1"/>
  <c r="J370" i="5"/>
  <c r="AD284" i="1"/>
  <c r="F370" i="5"/>
  <c r="CS282" i="1"/>
  <c r="R282" i="1" s="1"/>
  <c r="CV282" i="1"/>
  <c r="U282" i="1" s="1"/>
  <c r="J365" i="5"/>
  <c r="AB282" i="1"/>
  <c r="E365" i="5" s="1"/>
  <c r="F365" i="5"/>
  <c r="CW281" i="1"/>
  <c r="V281" i="1" s="1"/>
  <c r="CT281" i="1"/>
  <c r="S281" i="1" s="1"/>
  <c r="E363" i="5"/>
  <c r="E362" i="5"/>
  <c r="E364" i="5"/>
  <c r="E360" i="5"/>
  <c r="D359" i="5"/>
  <c r="D59" i="6"/>
  <c r="C361" i="5"/>
  <c r="C349" i="5"/>
  <c r="D58" i="6"/>
  <c r="D347" i="5"/>
  <c r="P279" i="1"/>
  <c r="U335" i="5" s="1"/>
  <c r="E307" i="5"/>
  <c r="E315" i="5"/>
  <c r="E314" i="5"/>
  <c r="E316" i="5"/>
  <c r="CC245" i="1"/>
  <c r="G238" i="1"/>
  <c r="CD206" i="1"/>
  <c r="CD199" i="1" s="1"/>
  <c r="CW204" i="1"/>
  <c r="J276" i="5"/>
  <c r="AD204" i="1"/>
  <c r="F276" i="5"/>
  <c r="CS203" i="1"/>
  <c r="CV203" i="1"/>
  <c r="J264" i="5"/>
  <c r="AD203" i="1"/>
  <c r="U202" i="1"/>
  <c r="CS201" i="1"/>
  <c r="R201" i="1" s="1"/>
  <c r="CV201" i="1"/>
  <c r="U201" i="1" s="1"/>
  <c r="J251" i="5"/>
  <c r="AD201" i="1"/>
  <c r="G156" i="1"/>
  <c r="C245" i="5"/>
  <c r="AG245" i="5"/>
  <c r="CV165" i="1"/>
  <c r="CW165" i="1"/>
  <c r="J243" i="5"/>
  <c r="CS165" i="1"/>
  <c r="F243" i="5"/>
  <c r="CR164" i="1"/>
  <c r="AB164" i="1"/>
  <c r="E239" i="5" s="1"/>
  <c r="CW162" i="1"/>
  <c r="J227" i="5"/>
  <c r="AD162" i="1"/>
  <c r="F227" i="5"/>
  <c r="CW161" i="1"/>
  <c r="V161" i="1" s="1"/>
  <c r="CT161" i="1"/>
  <c r="S161" i="1" s="1"/>
  <c r="E216" i="5"/>
  <c r="E225" i="5"/>
  <c r="E224" i="5"/>
  <c r="E223" i="5"/>
  <c r="I158" i="1"/>
  <c r="D41" i="6"/>
  <c r="C217" i="5"/>
  <c r="D215" i="5"/>
  <c r="E200" i="5"/>
  <c r="E199" i="5"/>
  <c r="E192" i="5"/>
  <c r="CT122" i="1"/>
  <c r="CS121" i="1"/>
  <c r="R121" i="1" s="1"/>
  <c r="CV121" i="1"/>
  <c r="U121" i="1" s="1"/>
  <c r="J180" i="5"/>
  <c r="AD121" i="1"/>
  <c r="BZ124" i="1"/>
  <c r="AQ124" i="1" s="1"/>
  <c r="Z164" i="5"/>
  <c r="K165" i="5"/>
  <c r="CT118" i="1"/>
  <c r="S118" i="1" s="1"/>
  <c r="E165" i="5"/>
  <c r="CW117" i="1"/>
  <c r="V117" i="1" s="1"/>
  <c r="J154" i="5"/>
  <c r="D35" i="6"/>
  <c r="D153" i="5"/>
  <c r="C155" i="5"/>
  <c r="CS114" i="1"/>
  <c r="R114" i="1" s="1"/>
  <c r="CV114" i="1"/>
  <c r="U114" i="1" s="1"/>
  <c r="J119" i="5"/>
  <c r="AD114" i="1"/>
  <c r="E104" i="5"/>
  <c r="E103" i="5"/>
  <c r="E96" i="5"/>
  <c r="K85" i="5"/>
  <c r="Z84" i="5"/>
  <c r="CT110" i="1"/>
  <c r="S110" i="1" s="1"/>
  <c r="E85" i="5"/>
  <c r="E93" i="5"/>
  <c r="E94" i="5"/>
  <c r="E92" i="5"/>
  <c r="D29" i="6"/>
  <c r="C86" i="5"/>
  <c r="D84" i="5"/>
  <c r="CT109" i="1"/>
  <c r="I109" i="1"/>
  <c r="F100" i="1"/>
  <c r="F92" i="1"/>
  <c r="F84" i="1"/>
  <c r="F76" i="1"/>
  <c r="G30" i="1"/>
  <c r="C64" i="5"/>
  <c r="CT38" i="1"/>
  <c r="E62" i="5"/>
  <c r="V37" i="1"/>
  <c r="R37" i="1"/>
  <c r="CV36" i="1"/>
  <c r="I36" i="1"/>
  <c r="P36" i="1" s="1"/>
  <c r="CW34" i="1"/>
  <c r="V34" i="1" s="1"/>
  <c r="J39" i="5"/>
  <c r="AD34" i="1"/>
  <c r="F39" i="5"/>
  <c r="CV32" i="1"/>
  <c r="U32" i="1" s="1"/>
  <c r="J26" i="5"/>
  <c r="AD32" i="1"/>
  <c r="CV291" i="1"/>
  <c r="U291" i="1" s="1"/>
  <c r="J418" i="5"/>
  <c r="CR289" i="1"/>
  <c r="Q289" i="1" s="1"/>
  <c r="F405" i="5"/>
  <c r="W288" i="1"/>
  <c r="D369" i="5"/>
  <c r="D62" i="6"/>
  <c r="C371" i="5"/>
  <c r="CT282" i="1"/>
  <c r="S282" i="1" s="1"/>
  <c r="E366" i="5"/>
  <c r="X359" i="5"/>
  <c r="I360" i="5"/>
  <c r="CV281" i="1"/>
  <c r="U281" i="1" s="1"/>
  <c r="J359" i="5"/>
  <c r="AD240" i="1"/>
  <c r="F294" i="5"/>
  <c r="CT203" i="1"/>
  <c r="E265" i="5"/>
  <c r="E273" i="5"/>
  <c r="E272" i="5"/>
  <c r="V201" i="1"/>
  <c r="W201" i="1"/>
  <c r="CV161" i="1"/>
  <c r="U161" i="1" s="1"/>
  <c r="J215" i="5"/>
  <c r="CD124" i="1"/>
  <c r="CY118" i="1"/>
  <c r="X118" i="1" s="1"/>
  <c r="AA164" i="5" s="1"/>
  <c r="X164" i="5"/>
  <c r="I165" i="5"/>
  <c r="E140" i="5"/>
  <c r="E139" i="5"/>
  <c r="E131" i="5"/>
  <c r="Z119" i="5"/>
  <c r="K120" i="5"/>
  <c r="I115" i="1"/>
  <c r="D33" i="6"/>
  <c r="C121" i="5"/>
  <c r="D119" i="5"/>
  <c r="K95" i="5"/>
  <c r="Y95" i="5"/>
  <c r="AB110" i="1"/>
  <c r="E84" i="5" s="1"/>
  <c r="F84" i="5"/>
  <c r="W109" i="1"/>
  <c r="AB38" i="1"/>
  <c r="E61" i="5" s="1"/>
  <c r="F61" i="5"/>
  <c r="V38" i="5"/>
  <c r="H38" i="5"/>
  <c r="W32" i="1"/>
  <c r="X433" i="5"/>
  <c r="I434" i="5"/>
  <c r="CV294" i="1"/>
  <c r="U294" i="1" s="1"/>
  <c r="J433" i="5"/>
  <c r="CR294" i="1"/>
  <c r="Q294" i="1" s="1"/>
  <c r="F433" i="5"/>
  <c r="I423" i="5"/>
  <c r="X422" i="5"/>
  <c r="CV293" i="1"/>
  <c r="U293" i="1" s="1"/>
  <c r="J422" i="5"/>
  <c r="CR293" i="1"/>
  <c r="Q293" i="1" s="1"/>
  <c r="F422" i="5"/>
  <c r="CV287" i="1"/>
  <c r="J401" i="5"/>
  <c r="AB287" i="1"/>
  <c r="E401" i="5" s="1"/>
  <c r="F401" i="5"/>
  <c r="CT286" i="1"/>
  <c r="S286" i="1" s="1"/>
  <c r="C392" i="5"/>
  <c r="D390" i="5"/>
  <c r="D64" i="6"/>
  <c r="P285" i="1"/>
  <c r="U380" i="5" s="1"/>
  <c r="U284" i="1"/>
  <c r="CV283" i="1"/>
  <c r="U283" i="1" s="1"/>
  <c r="CW283" i="1"/>
  <c r="V283" i="1" s="1"/>
  <c r="J368" i="5"/>
  <c r="CS283" i="1"/>
  <c r="R283" i="1" s="1"/>
  <c r="F368" i="5"/>
  <c r="E348" i="5"/>
  <c r="E358" i="5"/>
  <c r="E357" i="5"/>
  <c r="E356" i="5"/>
  <c r="CW279" i="1"/>
  <c r="V279" i="1" s="1"/>
  <c r="CT279" i="1"/>
  <c r="S279" i="1" s="1"/>
  <c r="E345" i="5"/>
  <c r="E344" i="5"/>
  <c r="E336" i="5"/>
  <c r="D335" i="5"/>
  <c r="D57" i="6"/>
  <c r="C337" i="5"/>
  <c r="CW243" i="1"/>
  <c r="CT243" i="1"/>
  <c r="E326" i="5"/>
  <c r="E325" i="5"/>
  <c r="E318" i="5"/>
  <c r="CW242" i="1"/>
  <c r="J307" i="5"/>
  <c r="AD242" i="1"/>
  <c r="F307" i="5"/>
  <c r="X304" i="5"/>
  <c r="I305" i="5"/>
  <c r="CV241" i="1"/>
  <c r="U241" i="1" s="1"/>
  <c r="J304" i="5"/>
  <c r="AB241" i="1"/>
  <c r="E304" i="5" s="1"/>
  <c r="F304" i="5"/>
  <c r="E301" i="5"/>
  <c r="E294" i="5"/>
  <c r="E302" i="5"/>
  <c r="G199" i="1"/>
  <c r="C287" i="5"/>
  <c r="BZ206" i="1"/>
  <c r="AQ206" i="1" s="1"/>
  <c r="CT202" i="1"/>
  <c r="S202" i="1" s="1"/>
  <c r="P201" i="1"/>
  <c r="U251" i="5" s="1"/>
  <c r="I229" i="5"/>
  <c r="X228" i="5"/>
  <c r="CV163" i="1"/>
  <c r="U163" i="1" s="1"/>
  <c r="J228" i="5"/>
  <c r="AB163" i="1"/>
  <c r="E228" i="5" s="1"/>
  <c r="F228" i="5"/>
  <c r="AB162" i="1"/>
  <c r="E226" i="5" s="1"/>
  <c r="CC167" i="1"/>
  <c r="CW160" i="1"/>
  <c r="J214" i="5"/>
  <c r="AD160" i="1"/>
  <c r="F214" i="5"/>
  <c r="CW159" i="1"/>
  <c r="CT159" i="1"/>
  <c r="E203" i="5"/>
  <c r="E210" i="5"/>
  <c r="E211" i="5"/>
  <c r="W158" i="1"/>
  <c r="CW158" i="1"/>
  <c r="V158" i="1" s="1"/>
  <c r="J192" i="5"/>
  <c r="AD158" i="1"/>
  <c r="F192" i="5"/>
  <c r="P121" i="1"/>
  <c r="U180" i="5" s="1"/>
  <c r="K168" i="5"/>
  <c r="Y168" i="5"/>
  <c r="I168" i="5"/>
  <c r="W168" i="5"/>
  <c r="AB120" i="1"/>
  <c r="E168" i="5" s="1"/>
  <c r="F168" i="5"/>
  <c r="I122" i="1"/>
  <c r="D168" i="5"/>
  <c r="C170" i="5"/>
  <c r="CT119" i="1"/>
  <c r="S119" i="1" s="1"/>
  <c r="T119" i="1"/>
  <c r="Y153" i="5"/>
  <c r="K153" i="5"/>
  <c r="CW116" i="1"/>
  <c r="V116" i="1" s="1"/>
  <c r="CT116" i="1"/>
  <c r="E143" i="5"/>
  <c r="E150" i="5"/>
  <c r="E151" i="5"/>
  <c r="I116" i="1"/>
  <c r="CT115" i="1"/>
  <c r="S115" i="1" s="1"/>
  <c r="P114" i="1"/>
  <c r="U119" i="5" s="1"/>
  <c r="CT113" i="1"/>
  <c r="CW112" i="1"/>
  <c r="CT112" i="1"/>
  <c r="E107" i="5"/>
  <c r="I112" i="1"/>
  <c r="W111" i="1"/>
  <c r="CW111" i="1"/>
  <c r="V111" i="1" s="1"/>
  <c r="J96" i="5"/>
  <c r="AD111" i="1"/>
  <c r="F96" i="5"/>
  <c r="R108" i="1"/>
  <c r="CV108" i="1"/>
  <c r="U108" i="1" s="1"/>
  <c r="J71" i="5"/>
  <c r="AD108" i="1"/>
  <c r="F95" i="1"/>
  <c r="F87" i="1"/>
  <c r="F83" i="1"/>
  <c r="U37" i="1"/>
  <c r="Q37" i="1"/>
  <c r="CP37" i="1" s="1"/>
  <c r="O37" i="1" s="1"/>
  <c r="GN37" i="1" s="1"/>
  <c r="CT36" i="1"/>
  <c r="S36" i="1" s="1"/>
  <c r="CW36" i="1"/>
  <c r="J56" i="5"/>
  <c r="CS36" i="1"/>
  <c r="F56" i="5"/>
  <c r="CS35" i="1"/>
  <c r="R35" i="1" s="1"/>
  <c r="CV35" i="1"/>
  <c r="U35" i="1" s="1"/>
  <c r="J44" i="5"/>
  <c r="AD35" i="1"/>
  <c r="U34" i="1"/>
  <c r="CS33" i="1"/>
  <c r="R33" i="1" s="1"/>
  <c r="CV33" i="1"/>
  <c r="U33" i="1" s="1"/>
  <c r="J32" i="5"/>
  <c r="AD33" i="1"/>
  <c r="CW32" i="1"/>
  <c r="V32" i="1" s="1"/>
  <c r="P32" i="1"/>
  <c r="U26" i="5" s="1"/>
  <c r="Z58" i="5"/>
  <c r="K59" i="5"/>
  <c r="X58" i="5"/>
  <c r="I59" i="5"/>
  <c r="U58" i="5"/>
  <c r="U44" i="5"/>
  <c r="CI40" i="1"/>
  <c r="CI30" i="1" s="1"/>
  <c r="K58" i="5"/>
  <c r="Y58" i="5"/>
  <c r="V58" i="5"/>
  <c r="H58" i="5"/>
  <c r="W58" i="5"/>
  <c r="D23" i="6"/>
  <c r="C60" i="5"/>
  <c r="D58" i="5"/>
  <c r="K45" i="5"/>
  <c r="Z44" i="5"/>
  <c r="I45" i="5"/>
  <c r="X44" i="5"/>
  <c r="Y44" i="5"/>
  <c r="K44" i="5"/>
  <c r="H44" i="5"/>
  <c r="V44" i="5"/>
  <c r="AU296" i="1"/>
  <c r="AQ296" i="1"/>
  <c r="CZ294" i="1"/>
  <c r="Y294" i="1" s="1"/>
  <c r="AB294" i="1"/>
  <c r="E433" i="5" s="1"/>
  <c r="CZ293" i="1"/>
  <c r="Y293" i="1" s="1"/>
  <c r="AB293" i="1"/>
  <c r="E422" i="5" s="1"/>
  <c r="CX183" i="3"/>
  <c r="CX185" i="3"/>
  <c r="CX187" i="3"/>
  <c r="CX189" i="3"/>
  <c r="CX184" i="3"/>
  <c r="CX186" i="3"/>
  <c r="CX188" i="3"/>
  <c r="CX190" i="3"/>
  <c r="AD292" i="1"/>
  <c r="CS292" i="1"/>
  <c r="AB291" i="1"/>
  <c r="E418" i="5" s="1"/>
  <c r="AD290" i="1"/>
  <c r="CS290" i="1"/>
  <c r="CY289" i="1"/>
  <c r="X289" i="1" s="1"/>
  <c r="CZ289" i="1"/>
  <c r="Y289" i="1" s="1"/>
  <c r="CY285" i="1"/>
  <c r="X285" i="1" s="1"/>
  <c r="CY283" i="1"/>
  <c r="X283" i="1" s="1"/>
  <c r="AA367" i="5" s="1"/>
  <c r="CY282" i="1"/>
  <c r="X282" i="1" s="1"/>
  <c r="AA365" i="5" s="1"/>
  <c r="CY281" i="1"/>
  <c r="X281" i="1" s="1"/>
  <c r="CZ281" i="1"/>
  <c r="Y281" i="1" s="1"/>
  <c r="CC238" i="1"/>
  <c r="AT245" i="1"/>
  <c r="BY238" i="1"/>
  <c r="AP245" i="1"/>
  <c r="CI245" i="1"/>
  <c r="AT199" i="1"/>
  <c r="F224" i="1"/>
  <c r="AU206" i="1"/>
  <c r="F312" i="1"/>
  <c r="BX277" i="1"/>
  <c r="CG296" i="1"/>
  <c r="AO296" i="1"/>
  <c r="CY293" i="1"/>
  <c r="X293" i="1" s="1"/>
  <c r="AB292" i="1"/>
  <c r="E420" i="5" s="1"/>
  <c r="CQ292" i="1"/>
  <c r="AB290" i="1"/>
  <c r="E416" i="5" s="1"/>
  <c r="CQ290" i="1"/>
  <c r="CP289" i="1"/>
  <c r="O289" i="1" s="1"/>
  <c r="AB288" i="1"/>
  <c r="E403" i="5" s="1"/>
  <c r="AB284" i="1"/>
  <c r="E369" i="5" s="1"/>
  <c r="CC296" i="1"/>
  <c r="BY296" i="1"/>
  <c r="CY241" i="1"/>
  <c r="X241" i="1" s="1"/>
  <c r="AA304" i="5" s="1"/>
  <c r="CZ241" i="1"/>
  <c r="Y241" i="1" s="1"/>
  <c r="AB304" i="5" s="1"/>
  <c r="CX119" i="3"/>
  <c r="AB240" i="1"/>
  <c r="E293" i="5" s="1"/>
  <c r="BB199" i="1"/>
  <c r="F219" i="1"/>
  <c r="AP199" i="1"/>
  <c r="F215" i="1"/>
  <c r="CI206" i="1"/>
  <c r="AB289" i="1"/>
  <c r="E405" i="5" s="1"/>
  <c r="BB296" i="1"/>
  <c r="I292" i="1"/>
  <c r="CS288" i="1"/>
  <c r="R288" i="1" s="1"/>
  <c r="CQ288" i="1"/>
  <c r="P288" i="1" s="1"/>
  <c r="CR287" i="1"/>
  <c r="Q287" i="1" s="1"/>
  <c r="CS286" i="1"/>
  <c r="R286" i="1" s="1"/>
  <c r="CQ286" i="1"/>
  <c r="P286" i="1" s="1"/>
  <c r="CX168" i="3"/>
  <c r="CX167" i="3"/>
  <c r="CX169" i="3"/>
  <c r="CX171" i="3"/>
  <c r="CX173" i="3"/>
  <c r="CX170" i="3"/>
  <c r="CX172" i="3"/>
  <c r="CX174" i="3"/>
  <c r="CR285" i="1"/>
  <c r="Q285" i="1" s="1"/>
  <c r="CS284" i="1"/>
  <c r="R284" i="1" s="1"/>
  <c r="CQ284" i="1"/>
  <c r="P284" i="1" s="1"/>
  <c r="CX146" i="3"/>
  <c r="CX148" i="3"/>
  <c r="CX150" i="3"/>
  <c r="CX152" i="3"/>
  <c r="CX154" i="3"/>
  <c r="CX156" i="3"/>
  <c r="CX158" i="3"/>
  <c r="CX160" i="3"/>
  <c r="CX147" i="3"/>
  <c r="CX149" i="3"/>
  <c r="CX151" i="3"/>
  <c r="CX153" i="3"/>
  <c r="CX155" i="3"/>
  <c r="CX157" i="3"/>
  <c r="CX159" i="3"/>
  <c r="CQ283" i="1"/>
  <c r="P283" i="1" s="1"/>
  <c r="CR282" i="1"/>
  <c r="Q282" i="1" s="1"/>
  <c r="CR281" i="1"/>
  <c r="Q281" i="1" s="1"/>
  <c r="CS280" i="1"/>
  <c r="R280" i="1" s="1"/>
  <c r="CQ280" i="1"/>
  <c r="P280" i="1" s="1"/>
  <c r="U347" i="5" s="1"/>
  <c r="CX134" i="3"/>
  <c r="CX136" i="3"/>
  <c r="CX138" i="3"/>
  <c r="CX135" i="3"/>
  <c r="CX137" i="3"/>
  <c r="CX139" i="3"/>
  <c r="CR279" i="1"/>
  <c r="Q279" i="1" s="1"/>
  <c r="CG245" i="1"/>
  <c r="BD245" i="1"/>
  <c r="BB245" i="1"/>
  <c r="CR243" i="1"/>
  <c r="CS242" i="1"/>
  <c r="CQ242" i="1"/>
  <c r="CR241" i="1"/>
  <c r="Q241" i="1" s="1"/>
  <c r="CS240" i="1"/>
  <c r="R240" i="1" s="1"/>
  <c r="CQ240" i="1"/>
  <c r="BC206" i="1"/>
  <c r="AO206" i="1"/>
  <c r="CS204" i="1"/>
  <c r="CQ204" i="1"/>
  <c r="I203" i="1"/>
  <c r="AD202" i="1"/>
  <c r="AB202" i="1" s="1"/>
  <c r="E262" i="5" s="1"/>
  <c r="CS202" i="1"/>
  <c r="R202" i="1" s="1"/>
  <c r="CK199" i="1"/>
  <c r="CC199" i="1"/>
  <c r="BY199" i="1"/>
  <c r="F183" i="1"/>
  <c r="BX156" i="1"/>
  <c r="CG167" i="1"/>
  <c r="AO167" i="1"/>
  <c r="CY161" i="1"/>
  <c r="X161" i="1" s="1"/>
  <c r="CZ161" i="1"/>
  <c r="Y161" i="1" s="1"/>
  <c r="CX89" i="3"/>
  <c r="GX158" i="1"/>
  <c r="I164" i="1"/>
  <c r="AB160" i="1"/>
  <c r="E213" i="5" s="1"/>
  <c r="U158" i="1"/>
  <c r="AB158" i="1"/>
  <c r="E191" i="5" s="1"/>
  <c r="W122" i="1"/>
  <c r="S122" i="1"/>
  <c r="V122" i="1"/>
  <c r="T122" i="1"/>
  <c r="CZ121" i="1"/>
  <c r="Y121" i="1" s="1"/>
  <c r="AB180" i="5" s="1"/>
  <c r="CD106" i="1"/>
  <c r="AU124" i="1"/>
  <c r="CG124" i="1"/>
  <c r="CI124" i="1"/>
  <c r="CX175" i="3"/>
  <c r="CX177" i="3"/>
  <c r="CX179" i="3"/>
  <c r="CX181" i="3"/>
  <c r="CX176" i="3"/>
  <c r="CX178" i="3"/>
  <c r="CX180" i="3"/>
  <c r="CX182" i="3"/>
  <c r="CX162" i="3"/>
  <c r="CX164" i="3"/>
  <c r="CX166" i="3"/>
  <c r="CX161" i="3"/>
  <c r="CX163" i="3"/>
  <c r="CX165" i="3"/>
  <c r="CX140" i="3"/>
  <c r="CX142" i="3"/>
  <c r="CX144" i="3"/>
  <c r="CX141" i="3"/>
  <c r="CX143" i="3"/>
  <c r="CX145" i="3"/>
  <c r="CX130" i="3"/>
  <c r="CX132" i="3"/>
  <c r="CX129" i="3"/>
  <c r="CX131" i="3"/>
  <c r="CX133" i="3"/>
  <c r="BC245" i="1"/>
  <c r="AU245" i="1"/>
  <c r="AQ245" i="1"/>
  <c r="AO245" i="1"/>
  <c r="BD206" i="1"/>
  <c r="CQ202" i="1"/>
  <c r="P202" i="1" s="1"/>
  <c r="CY202" i="1"/>
  <c r="X202" i="1" s="1"/>
  <c r="AA262" i="5" s="1"/>
  <c r="AB201" i="1"/>
  <c r="E251" i="5" s="1"/>
  <c r="AU167" i="1"/>
  <c r="AQ167" i="1"/>
  <c r="W164" i="1"/>
  <c r="CY163" i="1"/>
  <c r="X163" i="1" s="1"/>
  <c r="CZ163" i="1"/>
  <c r="Y163" i="1" s="1"/>
  <c r="CC156" i="1"/>
  <c r="AT167" i="1"/>
  <c r="AP167" i="1"/>
  <c r="CP121" i="1"/>
  <c r="O121" i="1" s="1"/>
  <c r="BB167" i="1"/>
  <c r="CQ165" i="1"/>
  <c r="CQ164" i="1"/>
  <c r="P164" i="1" s="1"/>
  <c r="U239" i="5" s="1"/>
  <c r="CR163" i="1"/>
  <c r="Q163" i="1" s="1"/>
  <c r="CS162" i="1"/>
  <c r="CQ162" i="1"/>
  <c r="I162" i="1"/>
  <c r="CR161" i="1"/>
  <c r="Q161" i="1" s="1"/>
  <c r="CS160" i="1"/>
  <c r="CQ160" i="1"/>
  <c r="CS158" i="1"/>
  <c r="R158" i="1" s="1"/>
  <c r="CQ158" i="1"/>
  <c r="P158" i="1" s="1"/>
  <c r="U191" i="5" s="1"/>
  <c r="BC124" i="1"/>
  <c r="AO124" i="1"/>
  <c r="CS122" i="1"/>
  <c r="R122" i="1" s="1"/>
  <c r="CQ122" i="1"/>
  <c r="P122" i="1" s="1"/>
  <c r="CR121" i="1"/>
  <c r="Q121" i="1" s="1"/>
  <c r="CQ119" i="1"/>
  <c r="P119" i="1" s="1"/>
  <c r="U166" i="5" s="1"/>
  <c r="CZ118" i="1"/>
  <c r="Y118" i="1" s="1"/>
  <c r="AB118" i="1"/>
  <c r="E164" i="5" s="1"/>
  <c r="AD117" i="1"/>
  <c r="CS117" i="1"/>
  <c r="R117" i="1" s="1"/>
  <c r="CQ115" i="1"/>
  <c r="P115" i="1" s="1"/>
  <c r="U130" i="5" s="1"/>
  <c r="CY114" i="1"/>
  <c r="X114" i="1" s="1"/>
  <c r="CZ114" i="1"/>
  <c r="Y114" i="1" s="1"/>
  <c r="CX64" i="3"/>
  <c r="CX66" i="3"/>
  <c r="AB113" i="1"/>
  <c r="E108" i="5" s="1"/>
  <c r="CY110" i="1"/>
  <c r="X110" i="1" s="1"/>
  <c r="CZ110" i="1"/>
  <c r="Y110" i="1" s="1"/>
  <c r="CX100" i="3"/>
  <c r="CX102" i="3"/>
  <c r="CX104" i="3"/>
  <c r="CX106" i="3"/>
  <c r="CX99" i="3"/>
  <c r="CX101" i="3"/>
  <c r="CX103" i="3"/>
  <c r="CX105" i="3"/>
  <c r="CX107" i="3"/>
  <c r="I159" i="1"/>
  <c r="BD124" i="1"/>
  <c r="BB124" i="1"/>
  <c r="AT124" i="1"/>
  <c r="AP124" i="1"/>
  <c r="CX84" i="3"/>
  <c r="CX86" i="3"/>
  <c r="CX88" i="3"/>
  <c r="CX85" i="3"/>
  <c r="CX87" i="3"/>
  <c r="AD119" i="1"/>
  <c r="CS119" i="1"/>
  <c r="R119" i="1" s="1"/>
  <c r="AB117" i="1"/>
  <c r="E153" i="5" s="1"/>
  <c r="CQ117" i="1"/>
  <c r="P117" i="1" s="1"/>
  <c r="CX68" i="3"/>
  <c r="AD115" i="1"/>
  <c r="CS115" i="1"/>
  <c r="R115" i="1" s="1"/>
  <c r="CP110" i="1"/>
  <c r="O110" i="1" s="1"/>
  <c r="CX70" i="3"/>
  <c r="CX72" i="3"/>
  <c r="CX74" i="3"/>
  <c r="CX76" i="3"/>
  <c r="CX78" i="3"/>
  <c r="CX80" i="3"/>
  <c r="CX82" i="3"/>
  <c r="CX71" i="3"/>
  <c r="CX73" i="3"/>
  <c r="CX75" i="3"/>
  <c r="CX77" i="3"/>
  <c r="CX79" i="3"/>
  <c r="CX81" i="3"/>
  <c r="CX83" i="3"/>
  <c r="CR114" i="1"/>
  <c r="Q114" i="1" s="1"/>
  <c r="CS113" i="1"/>
  <c r="CQ113" i="1"/>
  <c r="I113" i="1"/>
  <c r="CS111" i="1"/>
  <c r="R111" i="1" s="1"/>
  <c r="CQ111" i="1"/>
  <c r="P111" i="1" s="1"/>
  <c r="CX38" i="3"/>
  <c r="CX40" i="3"/>
  <c r="CX42" i="3"/>
  <c r="CX44" i="3"/>
  <c r="CX46" i="3"/>
  <c r="CX39" i="3"/>
  <c r="CX41" i="3"/>
  <c r="CX43" i="3"/>
  <c r="CX45" i="3"/>
  <c r="CR110" i="1"/>
  <c r="Q110" i="1" s="1"/>
  <c r="CS109" i="1"/>
  <c r="R109" i="1" s="1"/>
  <c r="CQ109" i="1"/>
  <c r="CY37" i="1"/>
  <c r="X37" i="1" s="1"/>
  <c r="AA58" i="5" s="1"/>
  <c r="CZ37" i="1"/>
  <c r="Y37" i="1" s="1"/>
  <c r="AB58" i="5" s="1"/>
  <c r="CZ35" i="1"/>
  <c r="Y35" i="1" s="1"/>
  <c r="CY35" i="1"/>
  <c r="X35" i="1" s="1"/>
  <c r="CY32" i="1"/>
  <c r="X32" i="1" s="1"/>
  <c r="CX50" i="3"/>
  <c r="CX52" i="3"/>
  <c r="CX54" i="3"/>
  <c r="CX56" i="3"/>
  <c r="CX58" i="3"/>
  <c r="CX60" i="3"/>
  <c r="CX62" i="3"/>
  <c r="CX51" i="3"/>
  <c r="CX53" i="3"/>
  <c r="CX55" i="3"/>
  <c r="CX57" i="3"/>
  <c r="CX59" i="3"/>
  <c r="CX61" i="3"/>
  <c r="CX63" i="3"/>
  <c r="CX30" i="3"/>
  <c r="CX32" i="3"/>
  <c r="CX34" i="3"/>
  <c r="CX36" i="3"/>
  <c r="CX31" i="3"/>
  <c r="CX33" i="3"/>
  <c r="CX35" i="3"/>
  <c r="CX37" i="3"/>
  <c r="CZ108" i="1"/>
  <c r="Y108" i="1" s="1"/>
  <c r="CZ33" i="1"/>
  <c r="Y33" i="1" s="1"/>
  <c r="AB108" i="1"/>
  <c r="E71" i="5" s="1"/>
  <c r="CX22" i="3"/>
  <c r="CX24" i="3"/>
  <c r="CX26" i="3"/>
  <c r="CX28" i="3"/>
  <c r="CX23" i="3"/>
  <c r="CX25" i="3"/>
  <c r="CX27" i="3"/>
  <c r="CX29" i="3"/>
  <c r="BC40" i="1"/>
  <c r="AU40" i="1"/>
  <c r="AQ40" i="1"/>
  <c r="AO40" i="1"/>
  <c r="CX18" i="3"/>
  <c r="CX20" i="3"/>
  <c r="CX17" i="3"/>
  <c r="CX19" i="3"/>
  <c r="CX21" i="3"/>
  <c r="AB33" i="1"/>
  <c r="E32" i="5" s="1"/>
  <c r="CX6" i="3"/>
  <c r="CX8" i="3"/>
  <c r="CX10" i="3"/>
  <c r="CX12" i="3"/>
  <c r="CX7" i="3"/>
  <c r="CX9" i="3"/>
  <c r="CX11" i="3"/>
  <c r="BB40" i="1"/>
  <c r="AZ40" i="1"/>
  <c r="AX40" i="1"/>
  <c r="AT40" i="1"/>
  <c r="AP40" i="1"/>
  <c r="CS34" i="1"/>
  <c r="R34" i="1" s="1"/>
  <c r="CQ34" i="1"/>
  <c r="P34" i="1" s="1"/>
  <c r="CX14" i="3"/>
  <c r="CX16" i="3"/>
  <c r="CX13" i="3"/>
  <c r="CX15" i="3"/>
  <c r="CX2" i="3"/>
  <c r="CX4" i="3"/>
  <c r="CX1" i="3"/>
  <c r="CX3" i="3"/>
  <c r="CX5" i="3"/>
  <c r="E142" i="5" l="1"/>
  <c r="E152" i="5"/>
  <c r="U55" i="5"/>
  <c r="H239" i="5"/>
  <c r="V239" i="5"/>
  <c r="CZ34" i="1"/>
  <c r="Y34" i="1" s="1"/>
  <c r="X38" i="5"/>
  <c r="I39" i="5"/>
  <c r="CY115" i="1"/>
  <c r="X115" i="1" s="1"/>
  <c r="I131" i="5"/>
  <c r="X130" i="5"/>
  <c r="AB164" i="5"/>
  <c r="CP161" i="1"/>
  <c r="O161" i="1" s="1"/>
  <c r="I215" i="5"/>
  <c r="W215" i="5"/>
  <c r="X293" i="5"/>
  <c r="I294" i="5"/>
  <c r="I348" i="5"/>
  <c r="X347" i="5"/>
  <c r="CP287" i="1"/>
  <c r="O287" i="1" s="1"/>
  <c r="W401" i="5"/>
  <c r="I401" i="5"/>
  <c r="CR292" i="1"/>
  <c r="F420" i="5"/>
  <c r="CR35" i="1"/>
  <c r="Q35" i="1" s="1"/>
  <c r="F44" i="5"/>
  <c r="D31" i="6"/>
  <c r="D106" i="5"/>
  <c r="V112" i="1"/>
  <c r="H166" i="5"/>
  <c r="V166" i="5"/>
  <c r="K418" i="5"/>
  <c r="Y418" i="5"/>
  <c r="H433" i="5"/>
  <c r="V433" i="5"/>
  <c r="H416" i="5"/>
  <c r="V416" i="5"/>
  <c r="AB112" i="1"/>
  <c r="E106" i="5" s="1"/>
  <c r="F106" i="5"/>
  <c r="GX112" i="1"/>
  <c r="AB159" i="1"/>
  <c r="F202" i="5"/>
  <c r="D52" i="6"/>
  <c r="C295" i="5"/>
  <c r="D293" i="5"/>
  <c r="CR286" i="1"/>
  <c r="Q286" i="1" s="1"/>
  <c r="F390" i="5"/>
  <c r="CR112" i="1"/>
  <c r="Q112" i="1" s="1"/>
  <c r="T159" i="1"/>
  <c r="D39" i="6"/>
  <c r="C204" i="5"/>
  <c r="D202" i="5"/>
  <c r="U262" i="5"/>
  <c r="K183" i="5"/>
  <c r="Z182" i="5"/>
  <c r="V203" i="1"/>
  <c r="D49" i="6"/>
  <c r="C266" i="5"/>
  <c r="D264" i="5"/>
  <c r="CP285" i="1"/>
  <c r="O285" i="1" s="1"/>
  <c r="I380" i="5"/>
  <c r="W380" i="5"/>
  <c r="U403" i="5"/>
  <c r="G363" i="5"/>
  <c r="AB359" i="5"/>
  <c r="Z26" i="5"/>
  <c r="K27" i="5"/>
  <c r="R36" i="1"/>
  <c r="CZ36" i="1" s="1"/>
  <c r="Y36" i="1" s="1"/>
  <c r="D34" i="6"/>
  <c r="C144" i="5"/>
  <c r="D142" i="5"/>
  <c r="X367" i="5"/>
  <c r="I368" i="5"/>
  <c r="K369" i="5"/>
  <c r="Y369" i="5"/>
  <c r="W422" i="5"/>
  <c r="I422" i="5"/>
  <c r="Y433" i="5"/>
  <c r="K433" i="5"/>
  <c r="D130" i="5"/>
  <c r="C132" i="5"/>
  <c r="K215" i="5"/>
  <c r="Y215" i="5"/>
  <c r="AB32" i="1"/>
  <c r="F26" i="5"/>
  <c r="CR32" i="1"/>
  <c r="Q32" i="1" s="1"/>
  <c r="CR34" i="1"/>
  <c r="Q34" i="1" s="1"/>
  <c r="F38" i="5"/>
  <c r="U36" i="1"/>
  <c r="D28" i="6"/>
  <c r="D82" i="5"/>
  <c r="Y119" i="5"/>
  <c r="K119" i="5"/>
  <c r="I181" i="5"/>
  <c r="X180" i="5"/>
  <c r="K251" i="5"/>
  <c r="Y251" i="5"/>
  <c r="CR204" i="1"/>
  <c r="F275" i="5"/>
  <c r="I366" i="5"/>
  <c r="X365" i="5"/>
  <c r="K370" i="5"/>
  <c r="Z369" i="5"/>
  <c r="I381" i="5"/>
  <c r="X380" i="5"/>
  <c r="H403" i="5"/>
  <c r="V403" i="5"/>
  <c r="D68" i="6"/>
  <c r="D416" i="5"/>
  <c r="U290" i="1"/>
  <c r="GX290" i="1"/>
  <c r="E415" i="5"/>
  <c r="V290" i="1"/>
  <c r="V418" i="5"/>
  <c r="H418" i="5"/>
  <c r="Q36" i="1"/>
  <c r="CR109" i="1"/>
  <c r="Q109" i="1" s="1"/>
  <c r="F82" i="5"/>
  <c r="I164" i="5"/>
  <c r="W164" i="5"/>
  <c r="H180" i="5"/>
  <c r="V180" i="5"/>
  <c r="W240" i="1"/>
  <c r="K404" i="5"/>
  <c r="Z403" i="5"/>
  <c r="AB109" i="1"/>
  <c r="E82" i="5" s="1"/>
  <c r="G177" i="5"/>
  <c r="AA168" i="5"/>
  <c r="V228" i="5"/>
  <c r="H228" i="5"/>
  <c r="K263" i="5"/>
  <c r="Z262" i="5"/>
  <c r="AB243" i="1"/>
  <c r="F317" i="5"/>
  <c r="AB279" i="1"/>
  <c r="F335" i="5"/>
  <c r="D65" i="6"/>
  <c r="D401" i="5"/>
  <c r="Y403" i="5"/>
  <c r="K403" i="5"/>
  <c r="E432" i="5"/>
  <c r="T112" i="1"/>
  <c r="E118" i="5"/>
  <c r="K164" i="5"/>
  <c r="Y164" i="5"/>
  <c r="CR122" i="1"/>
  <c r="Q122" i="1" s="1"/>
  <c r="F182" i="5"/>
  <c r="CR288" i="1"/>
  <c r="Q288" i="1" s="1"/>
  <c r="CP288" i="1" s="1"/>
  <c r="O288" i="1" s="1"/>
  <c r="F403" i="5"/>
  <c r="GX109" i="1"/>
  <c r="U115" i="1"/>
  <c r="S240" i="1"/>
  <c r="AB32" i="5"/>
  <c r="G36" i="5"/>
  <c r="G29" i="5"/>
  <c r="AA26" i="5"/>
  <c r="I83" i="5"/>
  <c r="X82" i="5"/>
  <c r="U153" i="5"/>
  <c r="G92" i="5"/>
  <c r="AA84" i="5"/>
  <c r="X191" i="5"/>
  <c r="I192" i="5"/>
  <c r="G237" i="5"/>
  <c r="AB228" i="5"/>
  <c r="W335" i="5"/>
  <c r="I335" i="5"/>
  <c r="CZ284" i="1"/>
  <c r="Y284" i="1" s="1"/>
  <c r="X369" i="5"/>
  <c r="I370" i="5"/>
  <c r="G387" i="5"/>
  <c r="AA380" i="5"/>
  <c r="CR290" i="1"/>
  <c r="Q290" i="1" s="1"/>
  <c r="F416" i="5"/>
  <c r="Y32" i="5"/>
  <c r="K32" i="5"/>
  <c r="V55" i="5"/>
  <c r="H55" i="5"/>
  <c r="V130" i="5"/>
  <c r="H130" i="5"/>
  <c r="K143" i="5"/>
  <c r="Z142" i="5"/>
  <c r="CR158" i="1"/>
  <c r="Q158" i="1" s="1"/>
  <c r="F191" i="5"/>
  <c r="K359" i="5"/>
  <c r="Y359" i="5"/>
  <c r="D22" i="6"/>
  <c r="D55" i="5"/>
  <c r="C57" i="5"/>
  <c r="I38" i="1"/>
  <c r="S38" i="1" s="1"/>
  <c r="K154" i="5"/>
  <c r="Z153" i="5"/>
  <c r="Z215" i="5"/>
  <c r="K216" i="5"/>
  <c r="AB203" i="1"/>
  <c r="F264" i="5"/>
  <c r="K360" i="5"/>
  <c r="Z359" i="5"/>
  <c r="K380" i="5"/>
  <c r="Y380" i="5"/>
  <c r="H251" i="5"/>
  <c r="V251" i="5"/>
  <c r="T36" i="1"/>
  <c r="CR116" i="1"/>
  <c r="Q116" i="1" s="1"/>
  <c r="F142" i="5"/>
  <c r="K167" i="5"/>
  <c r="Z166" i="5"/>
  <c r="X335" i="5"/>
  <c r="I336" i="5"/>
  <c r="K402" i="5"/>
  <c r="Z401" i="5"/>
  <c r="H26" i="5"/>
  <c r="V26" i="5"/>
  <c r="G179" i="5"/>
  <c r="G168" i="5"/>
  <c r="T168" i="5"/>
  <c r="I84" i="5"/>
  <c r="W84" i="5"/>
  <c r="W119" i="5"/>
  <c r="I119" i="5"/>
  <c r="CZ117" i="1"/>
  <c r="Y117" i="1" s="1"/>
  <c r="I154" i="5"/>
  <c r="X153" i="5"/>
  <c r="CR159" i="1"/>
  <c r="GX162" i="1"/>
  <c r="D42" i="6"/>
  <c r="D226" i="5"/>
  <c r="G180" i="5"/>
  <c r="T180" i="5"/>
  <c r="BY156" i="1"/>
  <c r="K191" i="5"/>
  <c r="Y191" i="5"/>
  <c r="CP281" i="1"/>
  <c r="O281" i="1" s="1"/>
  <c r="GM281" i="1" s="1"/>
  <c r="W359" i="5"/>
  <c r="I359" i="5"/>
  <c r="CG206" i="1"/>
  <c r="U240" i="1"/>
  <c r="AA422" i="5"/>
  <c r="G430" i="5"/>
  <c r="AB405" i="5"/>
  <c r="G414" i="5"/>
  <c r="X32" i="5"/>
  <c r="I33" i="5"/>
  <c r="Y71" i="5"/>
  <c r="K71" i="5"/>
  <c r="E303" i="5"/>
  <c r="CZ32" i="1"/>
  <c r="Y32" i="1" s="1"/>
  <c r="CY36" i="1"/>
  <c r="X36" i="1" s="1"/>
  <c r="AA55" i="5" s="1"/>
  <c r="U113" i="1"/>
  <c r="D32" i="6"/>
  <c r="D108" i="5"/>
  <c r="C110" i="5"/>
  <c r="CX69" i="3"/>
  <c r="CZ119" i="1"/>
  <c r="Y119" i="1" s="1"/>
  <c r="AB166" i="5" s="1"/>
  <c r="X166" i="5"/>
  <c r="I167" i="5"/>
  <c r="G128" i="5"/>
  <c r="AB119" i="5"/>
  <c r="CR117" i="1"/>
  <c r="Q117" i="1" s="1"/>
  <c r="F153" i="5"/>
  <c r="W180" i="5"/>
  <c r="I180" i="5"/>
  <c r="GN120" i="1"/>
  <c r="BZ106" i="1"/>
  <c r="CY121" i="1"/>
  <c r="X121" i="1" s="1"/>
  <c r="AA180" i="5" s="1"/>
  <c r="H182" i="5"/>
  <c r="V182" i="5"/>
  <c r="G224" i="5"/>
  <c r="AB215" i="5"/>
  <c r="CR203" i="1"/>
  <c r="CP282" i="1"/>
  <c r="O282" i="1" s="1"/>
  <c r="GN282" i="1" s="1"/>
  <c r="W365" i="5"/>
  <c r="I365" i="5"/>
  <c r="CP286" i="1"/>
  <c r="O286" i="1" s="1"/>
  <c r="U390" i="5"/>
  <c r="CY288" i="1"/>
  <c r="X288" i="1" s="1"/>
  <c r="AA403" i="5" s="1"/>
  <c r="X403" i="5"/>
  <c r="I404" i="5"/>
  <c r="BZ199" i="1"/>
  <c r="I242" i="1"/>
  <c r="P242" i="1" s="1"/>
  <c r="CZ279" i="1"/>
  <c r="Y279" i="1" s="1"/>
  <c r="G415" i="5"/>
  <c r="T405" i="5"/>
  <c r="G405" i="5"/>
  <c r="CY291" i="1"/>
  <c r="X291" i="1" s="1"/>
  <c r="CY294" i="1"/>
  <c r="X294" i="1" s="1"/>
  <c r="G362" i="5"/>
  <c r="AA359" i="5"/>
  <c r="CZ283" i="1"/>
  <c r="Y283" i="1" s="1"/>
  <c r="AB367" i="5" s="1"/>
  <c r="AA405" i="5"/>
  <c r="G413" i="5"/>
  <c r="CZ291" i="1"/>
  <c r="Y291" i="1" s="1"/>
  <c r="AB418" i="5" s="1"/>
  <c r="AB422" i="5"/>
  <c r="G431" i="5"/>
  <c r="I58" i="5"/>
  <c r="CR33" i="1"/>
  <c r="Q33" i="1" s="1"/>
  <c r="F32" i="5"/>
  <c r="AB34" i="1"/>
  <c r="X71" i="5"/>
  <c r="I72" i="5"/>
  <c r="K96" i="5"/>
  <c r="Z95" i="5"/>
  <c r="S112" i="1"/>
  <c r="S116" i="1"/>
  <c r="K192" i="5"/>
  <c r="Z191" i="5"/>
  <c r="Y304" i="5"/>
  <c r="K304" i="5"/>
  <c r="CR242" i="1"/>
  <c r="F306" i="5"/>
  <c r="V335" i="5"/>
  <c r="H335" i="5"/>
  <c r="H390" i="5"/>
  <c r="V390" i="5"/>
  <c r="U287" i="1"/>
  <c r="CR240" i="1"/>
  <c r="Q240" i="1" s="1"/>
  <c r="F293" i="5"/>
  <c r="W405" i="5"/>
  <c r="I405" i="5"/>
  <c r="T109" i="1"/>
  <c r="P112" i="1"/>
  <c r="U106" i="5" s="1"/>
  <c r="X119" i="5"/>
  <c r="I120" i="5"/>
  <c r="V164" i="5"/>
  <c r="H164" i="5"/>
  <c r="AB121" i="1"/>
  <c r="E180" i="5" s="1"/>
  <c r="F180" i="5"/>
  <c r="E201" i="5"/>
  <c r="D38" i="6"/>
  <c r="D191" i="5"/>
  <c r="C193" i="5"/>
  <c r="CR162" i="1"/>
  <c r="F226" i="5"/>
  <c r="X251" i="5"/>
  <c r="I252" i="5"/>
  <c r="T240" i="1"/>
  <c r="AB285" i="1"/>
  <c r="F380" i="5"/>
  <c r="AB286" i="1"/>
  <c r="V405" i="5"/>
  <c r="H405" i="5"/>
  <c r="K419" i="5"/>
  <c r="Z418" i="5"/>
  <c r="CP291" i="1"/>
  <c r="O291" i="1" s="1"/>
  <c r="W418" i="5"/>
  <c r="I418" i="5"/>
  <c r="W36" i="1"/>
  <c r="E81" i="5"/>
  <c r="CY108" i="1"/>
  <c r="X108" i="1" s="1"/>
  <c r="H71" i="5"/>
  <c r="V71" i="5"/>
  <c r="U109" i="1"/>
  <c r="U112" i="1"/>
  <c r="CR113" i="1"/>
  <c r="F108" i="5"/>
  <c r="U116" i="1"/>
  <c r="CP118" i="1"/>
  <c r="O118" i="1" s="1"/>
  <c r="GM118" i="1" s="1"/>
  <c r="E179" i="5"/>
  <c r="AB122" i="1"/>
  <c r="E182" i="5" s="1"/>
  <c r="T158" i="1"/>
  <c r="V304" i="5"/>
  <c r="H304" i="5"/>
  <c r="I367" i="5"/>
  <c r="W367" i="5"/>
  <c r="E379" i="5"/>
  <c r="V422" i="5"/>
  <c r="H422" i="5"/>
  <c r="V109" i="1"/>
  <c r="H119" i="5"/>
  <c r="V119" i="5"/>
  <c r="CR280" i="1"/>
  <c r="Q280" i="1" s="1"/>
  <c r="F347" i="5"/>
  <c r="W115" i="1"/>
  <c r="AB168" i="5"/>
  <c r="G178" i="5"/>
  <c r="W290" i="1"/>
  <c r="CZ111" i="1"/>
  <c r="Y111" i="1" s="1"/>
  <c r="I96" i="5"/>
  <c r="X95" i="5"/>
  <c r="G94" i="5"/>
  <c r="T84" i="5"/>
  <c r="G84" i="5"/>
  <c r="X182" i="5"/>
  <c r="I183" i="5"/>
  <c r="CP163" i="1"/>
  <c r="O163" i="1" s="1"/>
  <c r="I228" i="5"/>
  <c r="W228" i="5"/>
  <c r="CR202" i="1"/>
  <c r="Q202" i="1" s="1"/>
  <c r="CP202" i="1" s="1"/>
  <c r="O202" i="1" s="1"/>
  <c r="F262" i="5"/>
  <c r="G441" i="5"/>
  <c r="AB433" i="5"/>
  <c r="CR111" i="1"/>
  <c r="Q111" i="1" s="1"/>
  <c r="F95" i="5"/>
  <c r="Y367" i="5"/>
  <c r="K367" i="5"/>
  <c r="V365" i="5"/>
  <c r="H365" i="5"/>
  <c r="Y180" i="5"/>
  <c r="K180" i="5"/>
  <c r="K365" i="5"/>
  <c r="Y365" i="5"/>
  <c r="CR115" i="1"/>
  <c r="Q115" i="1" s="1"/>
  <c r="CP115" i="1" s="1"/>
  <c r="O115" i="1" s="1"/>
  <c r="F130" i="5"/>
  <c r="AB111" i="1"/>
  <c r="AA228" i="5"/>
  <c r="G236" i="5"/>
  <c r="GM120" i="1"/>
  <c r="W304" i="5"/>
  <c r="I304" i="5"/>
  <c r="CZ290" i="1"/>
  <c r="Y290" i="1" s="1"/>
  <c r="AB416" i="5" s="1"/>
  <c r="CP34" i="1"/>
  <c r="O34" i="1" s="1"/>
  <c r="U38" i="5"/>
  <c r="AB35" i="1"/>
  <c r="CY33" i="1"/>
  <c r="X33" i="1" s="1"/>
  <c r="G80" i="5"/>
  <c r="AB71" i="5"/>
  <c r="P109" i="1"/>
  <c r="U82" i="5" s="1"/>
  <c r="CP111" i="1"/>
  <c r="O111" i="1" s="1"/>
  <c r="U95" i="5"/>
  <c r="CP114" i="1"/>
  <c r="O114" i="1" s="1"/>
  <c r="CX67" i="3"/>
  <c r="CY117" i="1"/>
  <c r="X117" i="1" s="1"/>
  <c r="CR119" i="1"/>
  <c r="Q119" i="1" s="1"/>
  <c r="CP119" i="1" s="1"/>
  <c r="O119" i="1" s="1"/>
  <c r="F166" i="5"/>
  <c r="G93" i="5"/>
  <c r="AB84" i="5"/>
  <c r="CX65" i="3"/>
  <c r="G127" i="5"/>
  <c r="AA119" i="5"/>
  <c r="CP122" i="1"/>
  <c r="O122" i="1" s="1"/>
  <c r="U182" i="5"/>
  <c r="CZ201" i="1"/>
  <c r="Y201" i="1" s="1"/>
  <c r="U164" i="1"/>
  <c r="D44" i="6"/>
  <c r="D239" i="5"/>
  <c r="C241" i="5"/>
  <c r="AA215" i="5"/>
  <c r="G223" i="5"/>
  <c r="CZ202" i="1"/>
  <c r="Y202" i="1" s="1"/>
  <c r="AB262" i="5" s="1"/>
  <c r="I263" i="5"/>
  <c r="X262" i="5"/>
  <c r="P240" i="1"/>
  <c r="U293" i="5" s="1"/>
  <c r="R242" i="1"/>
  <c r="CP283" i="1"/>
  <c r="O283" i="1" s="1"/>
  <c r="U367" i="5"/>
  <c r="U369" i="5"/>
  <c r="CY286" i="1"/>
  <c r="X286" i="1" s="1"/>
  <c r="X390" i="5"/>
  <c r="I391" i="5"/>
  <c r="S292" i="1"/>
  <c r="D70" i="6"/>
  <c r="D420" i="5"/>
  <c r="AB204" i="1"/>
  <c r="GX240" i="1"/>
  <c r="CY279" i="1"/>
  <c r="X279" i="1" s="1"/>
  <c r="P290" i="1"/>
  <c r="CY201" i="1"/>
  <c r="X201" i="1" s="1"/>
  <c r="CZ282" i="1"/>
  <c r="Y282" i="1" s="1"/>
  <c r="AB365" i="5" s="1"/>
  <c r="CZ285" i="1"/>
  <c r="Y285" i="1" s="1"/>
  <c r="R290" i="1"/>
  <c r="K38" i="5"/>
  <c r="Y38" i="5"/>
  <c r="V36" i="1"/>
  <c r="CR108" i="1"/>
  <c r="Q108" i="1" s="1"/>
  <c r="F71" i="5"/>
  <c r="W112" i="1"/>
  <c r="T115" i="1"/>
  <c r="W116" i="1"/>
  <c r="GX122" i="1"/>
  <c r="D182" i="5"/>
  <c r="CR160" i="1"/>
  <c r="F213" i="5"/>
  <c r="K228" i="5"/>
  <c r="Y228" i="5"/>
  <c r="V262" i="5"/>
  <c r="H262" i="5"/>
  <c r="K336" i="5"/>
  <c r="Z335" i="5"/>
  <c r="Z367" i="5"/>
  <c r="K368" i="5"/>
  <c r="R287" i="1"/>
  <c r="K422" i="5"/>
  <c r="Y422" i="5"/>
  <c r="W433" i="5"/>
  <c r="I433" i="5"/>
  <c r="K252" i="5"/>
  <c r="Z251" i="5"/>
  <c r="Y26" i="5"/>
  <c r="K26" i="5"/>
  <c r="Z38" i="5"/>
  <c r="K39" i="5"/>
  <c r="S109" i="1"/>
  <c r="H84" i="5"/>
  <c r="V84" i="5"/>
  <c r="AB114" i="1"/>
  <c r="F119" i="5"/>
  <c r="P116" i="1"/>
  <c r="V215" i="5"/>
  <c r="H215" i="5"/>
  <c r="CR201" i="1"/>
  <c r="Q201" i="1" s="1"/>
  <c r="F251" i="5"/>
  <c r="K262" i="5"/>
  <c r="Y262" i="5"/>
  <c r="H359" i="5"/>
  <c r="V359" i="5"/>
  <c r="CR284" i="1"/>
  <c r="Q284" i="1" s="1"/>
  <c r="CP284" i="1" s="1"/>
  <c r="O284" i="1" s="1"/>
  <c r="F369" i="5"/>
  <c r="Y390" i="5"/>
  <c r="K390" i="5"/>
  <c r="K406" i="5"/>
  <c r="Z405" i="5"/>
  <c r="K391" i="5"/>
  <c r="Z390" i="5"/>
  <c r="U38" i="1"/>
  <c r="AH40" i="1" s="1"/>
  <c r="Y84" i="5"/>
  <c r="K84" i="5"/>
  <c r="E261" i="5"/>
  <c r="Z347" i="5"/>
  <c r="K348" i="5"/>
  <c r="K405" i="5"/>
  <c r="Y405" i="5"/>
  <c r="I27" i="5"/>
  <c r="X26" i="5"/>
  <c r="E37" i="5"/>
  <c r="V32" i="5"/>
  <c r="H32" i="5"/>
  <c r="R112" i="1"/>
  <c r="V115" i="1"/>
  <c r="R116" i="1"/>
  <c r="U122" i="1"/>
  <c r="S158" i="1"/>
  <c r="E238" i="5"/>
  <c r="K335" i="5"/>
  <c r="Y335" i="5"/>
  <c r="S287" i="1"/>
  <c r="T116" i="1"/>
  <c r="V240" i="1"/>
  <c r="V380" i="5"/>
  <c r="H380" i="5"/>
  <c r="P287" i="1"/>
  <c r="U401" i="5" s="1"/>
  <c r="CP294" i="1"/>
  <c r="O294" i="1" s="1"/>
  <c r="CP293" i="1"/>
  <c r="O293" i="1" s="1"/>
  <c r="GX115" i="1"/>
  <c r="GX36" i="1"/>
  <c r="GM37" i="1"/>
  <c r="HD37" i="1" s="1"/>
  <c r="AA44" i="5"/>
  <c r="G52" i="5"/>
  <c r="G53" i="5"/>
  <c r="AB44" i="5"/>
  <c r="T58" i="5"/>
  <c r="G58" i="5"/>
  <c r="GM161" i="1"/>
  <c r="GN161" i="1"/>
  <c r="GM163" i="1"/>
  <c r="GN163" i="1"/>
  <c r="GN281" i="1"/>
  <c r="GM285" i="1"/>
  <c r="GN285" i="1"/>
  <c r="AT30" i="1"/>
  <c r="F58" i="1"/>
  <c r="AZ30" i="1"/>
  <c r="F51" i="1"/>
  <c r="AU30" i="1"/>
  <c r="F59" i="1"/>
  <c r="AU326" i="1"/>
  <c r="AP30" i="1"/>
  <c r="F49" i="1"/>
  <c r="AX30" i="1"/>
  <c r="F47" i="1"/>
  <c r="BB30" i="1"/>
  <c r="F53" i="1"/>
  <c r="BB326" i="1"/>
  <c r="AQ30" i="1"/>
  <c r="F50" i="1"/>
  <c r="AQ326" i="1"/>
  <c r="BC30" i="1"/>
  <c r="F56" i="1"/>
  <c r="BC326" i="1"/>
  <c r="CY34" i="1"/>
  <c r="X34" i="1" s="1"/>
  <c r="CP109" i="1"/>
  <c r="O109" i="1" s="1"/>
  <c r="P113" i="1"/>
  <c r="U108" i="5" s="1"/>
  <c r="CY111" i="1"/>
  <c r="X111" i="1" s="1"/>
  <c r="GN111" i="1" s="1"/>
  <c r="Q113" i="1"/>
  <c r="V113" i="1"/>
  <c r="W113" i="1"/>
  <c r="AT106" i="1"/>
  <c r="F142" i="1"/>
  <c r="BD106" i="1"/>
  <c r="F149" i="1"/>
  <c r="BC106" i="1"/>
  <c r="F140" i="1"/>
  <c r="P162" i="1"/>
  <c r="U226" i="5" s="1"/>
  <c r="CZ115" i="1"/>
  <c r="Y115" i="1" s="1"/>
  <c r="GN118" i="1"/>
  <c r="CY119" i="1"/>
  <c r="X119" i="1" s="1"/>
  <c r="AA166" i="5" s="1"/>
  <c r="CY158" i="1"/>
  <c r="X158" i="1" s="1"/>
  <c r="U159" i="1"/>
  <c r="R159" i="1"/>
  <c r="GX159" i="1"/>
  <c r="AP156" i="1"/>
  <c r="F176" i="1"/>
  <c r="AT156" i="1"/>
  <c r="F185" i="1"/>
  <c r="U162" i="1"/>
  <c r="AU156" i="1"/>
  <c r="F186" i="1"/>
  <c r="BD199" i="1"/>
  <c r="F231" i="1"/>
  <c r="F255" i="1"/>
  <c r="AQ238" i="1"/>
  <c r="F261" i="1"/>
  <c r="BC238" i="1"/>
  <c r="AQ106" i="1"/>
  <c r="F134" i="1"/>
  <c r="CG106" i="1"/>
  <c r="AX124" i="1"/>
  <c r="AU106" i="1"/>
  <c r="F143" i="1"/>
  <c r="Q162" i="1"/>
  <c r="V162" i="1"/>
  <c r="W162" i="1"/>
  <c r="R164" i="1"/>
  <c r="V164" i="1"/>
  <c r="AO156" i="1"/>
  <c r="F171" i="1"/>
  <c r="Q203" i="1"/>
  <c r="BC199" i="1"/>
  <c r="F222" i="1"/>
  <c r="BD238" i="1"/>
  <c r="F270" i="1"/>
  <c r="BB277" i="1"/>
  <c r="F309" i="1"/>
  <c r="AQ199" i="1"/>
  <c r="F216" i="1"/>
  <c r="AX206" i="1"/>
  <c r="CG199" i="1"/>
  <c r="P203" i="1"/>
  <c r="U264" i="5" s="1"/>
  <c r="CX120" i="3"/>
  <c r="CX122" i="3"/>
  <c r="CX124" i="3"/>
  <c r="CX126" i="3"/>
  <c r="CX121" i="3"/>
  <c r="CX123" i="3"/>
  <c r="CX125" i="3"/>
  <c r="CX127" i="3"/>
  <c r="GX242" i="1"/>
  <c r="I243" i="1"/>
  <c r="T242" i="1"/>
  <c r="S242" i="1"/>
  <c r="CC277" i="1"/>
  <c r="AT296" i="1"/>
  <c r="CZ286" i="1"/>
  <c r="Y286" i="1" s="1"/>
  <c r="GM289" i="1"/>
  <c r="GN289" i="1"/>
  <c r="CG277" i="1"/>
  <c r="AX296" i="1"/>
  <c r="S203" i="1"/>
  <c r="W203" i="1"/>
  <c r="CZ240" i="1"/>
  <c r="Y240" i="1" s="1"/>
  <c r="CP241" i="1"/>
  <c r="O241" i="1" s="1"/>
  <c r="AP238" i="1"/>
  <c r="F254" i="1"/>
  <c r="AT238" i="1"/>
  <c r="F263" i="1"/>
  <c r="U242" i="1"/>
  <c r="CY280" i="1"/>
  <c r="X280" i="1" s="1"/>
  <c r="CY284" i="1"/>
  <c r="X284" i="1" s="1"/>
  <c r="CZ288" i="1"/>
  <c r="Y288" i="1" s="1"/>
  <c r="AB403" i="5" s="1"/>
  <c r="R292" i="1"/>
  <c r="T292" i="1"/>
  <c r="AG296" i="1" s="1"/>
  <c r="AQ277" i="1"/>
  <c r="F306" i="1"/>
  <c r="GM291" i="1"/>
  <c r="GN294" i="1"/>
  <c r="GM293" i="1"/>
  <c r="AO30" i="1"/>
  <c r="F44" i="1"/>
  <c r="AO326" i="1"/>
  <c r="CX48" i="3"/>
  <c r="CX47" i="3"/>
  <c r="CX49" i="3"/>
  <c r="GX113" i="1"/>
  <c r="CJ124" i="1" s="1"/>
  <c r="R113" i="1"/>
  <c r="GM110" i="1"/>
  <c r="GN110" i="1"/>
  <c r="T113" i="1"/>
  <c r="AG124" i="1" s="1"/>
  <c r="S113" i="1"/>
  <c r="GN114" i="1"/>
  <c r="GM114" i="1"/>
  <c r="AP106" i="1"/>
  <c r="F133" i="1"/>
  <c r="BB106" i="1"/>
  <c r="F137" i="1"/>
  <c r="CX90" i="3"/>
  <c r="CX92" i="3"/>
  <c r="CX94" i="3"/>
  <c r="CX96" i="3"/>
  <c r="CX98" i="3"/>
  <c r="CX91" i="3"/>
  <c r="CX93" i="3"/>
  <c r="CX95" i="3"/>
  <c r="CX97" i="3"/>
  <c r="I160" i="1"/>
  <c r="CY109" i="1"/>
  <c r="X109" i="1" s="1"/>
  <c r="AA82" i="5" s="1"/>
  <c r="AB115" i="1"/>
  <c r="AB119" i="1"/>
  <c r="E166" i="5" s="1"/>
  <c r="AO106" i="1"/>
  <c r="F128" i="1"/>
  <c r="CP158" i="1"/>
  <c r="O158" i="1" s="1"/>
  <c r="Q159" i="1"/>
  <c r="R162" i="1"/>
  <c r="BB156" i="1"/>
  <c r="F180" i="1"/>
  <c r="GM121" i="1"/>
  <c r="GN121" i="1"/>
  <c r="S159" i="1"/>
  <c r="W159" i="1"/>
  <c r="V159" i="1"/>
  <c r="CI156" i="1"/>
  <c r="AZ167" i="1"/>
  <c r="CZ164" i="1"/>
  <c r="Y164" i="1" s="1"/>
  <c r="AB239" i="5" s="1"/>
  <c r="CY164" i="1"/>
  <c r="X164" i="1" s="1"/>
  <c r="AA239" i="5" s="1"/>
  <c r="AQ156" i="1"/>
  <c r="F177" i="1"/>
  <c r="F249" i="1"/>
  <c r="AO238" i="1"/>
  <c r="AU238" i="1"/>
  <c r="F264" i="1"/>
  <c r="CI106" i="1"/>
  <c r="AZ124" i="1"/>
  <c r="CZ122" i="1"/>
  <c r="Y122" i="1" s="1"/>
  <c r="CY122" i="1"/>
  <c r="X122" i="1" s="1"/>
  <c r="P159" i="1"/>
  <c r="GX164" i="1"/>
  <c r="I165" i="1"/>
  <c r="T162" i="1"/>
  <c r="S162" i="1"/>
  <c r="T164" i="1"/>
  <c r="Q164" i="1"/>
  <c r="CG156" i="1"/>
  <c r="AX167" i="1"/>
  <c r="CX110" i="3"/>
  <c r="CX112" i="3"/>
  <c r="CX114" i="3"/>
  <c r="CX116" i="3"/>
  <c r="CX111" i="3"/>
  <c r="CX113" i="3"/>
  <c r="CX115" i="3"/>
  <c r="CX117" i="3"/>
  <c r="I204" i="1"/>
  <c r="AO199" i="1"/>
  <c r="F210" i="1"/>
  <c r="CP240" i="1"/>
  <c r="O240" i="1" s="1"/>
  <c r="BB238" i="1"/>
  <c r="F258" i="1"/>
  <c r="CG238" i="1"/>
  <c r="AX245" i="1"/>
  <c r="GN283" i="1"/>
  <c r="GM283" i="1"/>
  <c r="HD283" i="1" s="1"/>
  <c r="U292" i="1"/>
  <c r="GX292" i="1"/>
  <c r="CI199" i="1"/>
  <c r="AZ206" i="1"/>
  <c r="T203" i="1"/>
  <c r="BY277" i="1"/>
  <c r="AP296" i="1"/>
  <c r="CI296" i="1"/>
  <c r="P292" i="1"/>
  <c r="U420" i="5" s="1"/>
  <c r="AO277" i="1"/>
  <c r="F300" i="1"/>
  <c r="U203" i="1"/>
  <c r="R203" i="1"/>
  <c r="GX203" i="1"/>
  <c r="F225" i="1"/>
  <c r="AU199" i="1"/>
  <c r="CY240" i="1"/>
  <c r="X240" i="1" s="1"/>
  <c r="CI238" i="1"/>
  <c r="AZ245" i="1"/>
  <c r="CP279" i="1"/>
  <c r="O279" i="1" s="1"/>
  <c r="CZ280" i="1"/>
  <c r="Y280" i="1" s="1"/>
  <c r="Q292" i="1"/>
  <c r="V292" i="1"/>
  <c r="AU277" i="1"/>
  <c r="F315" i="1"/>
  <c r="W292" i="1"/>
  <c r="AJ296" i="1" s="1"/>
  <c r="T166" i="5" l="1"/>
  <c r="G166" i="5"/>
  <c r="T262" i="5"/>
  <c r="G262" i="5"/>
  <c r="GM202" i="1"/>
  <c r="GN202" i="1"/>
  <c r="T403" i="5"/>
  <c r="G403" i="5"/>
  <c r="GN288" i="1"/>
  <c r="GM288" i="1"/>
  <c r="U40" i="1"/>
  <c r="F62" i="1" s="1"/>
  <c r="AH30" i="1"/>
  <c r="G379" i="5"/>
  <c r="T369" i="5"/>
  <c r="G369" i="5"/>
  <c r="GN284" i="1"/>
  <c r="GM284" i="1"/>
  <c r="T130" i="5"/>
  <c r="G130" i="5"/>
  <c r="G141" i="5"/>
  <c r="V61" i="5"/>
  <c r="H64" i="5" s="1"/>
  <c r="H61" i="5"/>
  <c r="AF40" i="1"/>
  <c r="U306" i="5"/>
  <c r="AB55" i="5"/>
  <c r="D50" i="6"/>
  <c r="D275" i="5"/>
  <c r="C277" i="5"/>
  <c r="G377" i="5"/>
  <c r="AA369" i="5"/>
  <c r="K240" i="5"/>
  <c r="Z239" i="5"/>
  <c r="I203" i="5"/>
  <c r="X202" i="5"/>
  <c r="T422" i="5"/>
  <c r="G422" i="5"/>
  <c r="G432" i="5"/>
  <c r="K182" i="5"/>
  <c r="Y182" i="5"/>
  <c r="H420" i="5"/>
  <c r="V420" i="5"/>
  <c r="E44" i="5"/>
  <c r="E54" i="5"/>
  <c r="K293" i="5"/>
  <c r="Y293" i="5"/>
  <c r="AA130" i="5"/>
  <c r="G139" i="5"/>
  <c r="G301" i="5"/>
  <c r="AA293" i="5"/>
  <c r="G356" i="5"/>
  <c r="AA347" i="5"/>
  <c r="I264" i="5"/>
  <c r="W264" i="5"/>
  <c r="X239" i="5"/>
  <c r="I240" i="5"/>
  <c r="K202" i="5"/>
  <c r="Y202" i="5"/>
  <c r="AB130" i="5"/>
  <c r="G140" i="5"/>
  <c r="AJ124" i="1"/>
  <c r="AF296" i="1"/>
  <c r="T433" i="5"/>
  <c r="G433" i="5"/>
  <c r="G442" i="5"/>
  <c r="Z293" i="5"/>
  <c r="K294" i="5"/>
  <c r="I143" i="5"/>
  <c r="X142" i="5"/>
  <c r="CP116" i="1"/>
  <c r="O116" i="1" s="1"/>
  <c r="U142" i="5"/>
  <c r="I402" i="5"/>
  <c r="X401" i="5"/>
  <c r="I445" i="5" s="1"/>
  <c r="G259" i="5"/>
  <c r="AA251" i="5"/>
  <c r="E275" i="5"/>
  <c r="E285" i="5"/>
  <c r="T182" i="5"/>
  <c r="G182" i="5"/>
  <c r="AA153" i="5"/>
  <c r="G161" i="5"/>
  <c r="G105" i="5"/>
  <c r="T95" i="5"/>
  <c r="G95" i="5"/>
  <c r="E38" i="5"/>
  <c r="E43" i="5"/>
  <c r="GM294" i="1"/>
  <c r="AA433" i="5"/>
  <c r="G440" i="5"/>
  <c r="G400" i="5"/>
  <c r="T390" i="5"/>
  <c r="G390" i="5"/>
  <c r="W153" i="5"/>
  <c r="I153" i="5"/>
  <c r="G30" i="5"/>
  <c r="AB26" i="5"/>
  <c r="W142" i="5"/>
  <c r="I142" i="5"/>
  <c r="AB369" i="5"/>
  <c r="G378" i="5"/>
  <c r="W182" i="5"/>
  <c r="I182" i="5"/>
  <c r="Y416" i="5"/>
  <c r="K416" i="5"/>
  <c r="I38" i="5"/>
  <c r="W38" i="5"/>
  <c r="G389" i="5"/>
  <c r="T380" i="5"/>
  <c r="G380" i="5"/>
  <c r="K265" i="5"/>
  <c r="Z264" i="5"/>
  <c r="W390" i="5"/>
  <c r="I390" i="5"/>
  <c r="AD296" i="1"/>
  <c r="W420" i="5"/>
  <c r="I420" i="5"/>
  <c r="AB293" i="5"/>
  <c r="G302" i="5"/>
  <c r="D55" i="6"/>
  <c r="D317" i="5"/>
  <c r="C319" i="5"/>
  <c r="W369" i="5"/>
  <c r="I369" i="5"/>
  <c r="X306" i="5"/>
  <c r="I307" i="5"/>
  <c r="W166" i="5"/>
  <c r="I166" i="5"/>
  <c r="I347" i="5"/>
  <c r="W347" i="5"/>
  <c r="I444" i="5" s="1"/>
  <c r="K401" i="5"/>
  <c r="Y401" i="5"/>
  <c r="H106" i="5"/>
  <c r="V106" i="5"/>
  <c r="H185" i="5" s="1"/>
  <c r="CY112" i="1"/>
  <c r="X112" i="1" s="1"/>
  <c r="AA106" i="5" s="1"/>
  <c r="CZ112" i="1"/>
  <c r="Y112" i="1" s="1"/>
  <c r="AB106" i="5" s="1"/>
  <c r="T359" i="5"/>
  <c r="G359" i="5"/>
  <c r="G364" i="5"/>
  <c r="I416" i="5"/>
  <c r="W416" i="5"/>
  <c r="E26" i="5"/>
  <c r="E31" i="5"/>
  <c r="I56" i="5"/>
  <c r="X55" i="5"/>
  <c r="T401" i="5"/>
  <c r="G401" i="5"/>
  <c r="G357" i="5"/>
  <c r="AB347" i="5"/>
  <c r="X264" i="5"/>
  <c r="I265" i="5"/>
  <c r="CP159" i="1"/>
  <c r="O159" i="1" s="1"/>
  <c r="U202" i="5"/>
  <c r="G201" i="5"/>
  <c r="G191" i="5"/>
  <c r="CJ296" i="1"/>
  <c r="AC296" i="1"/>
  <c r="AC277" i="1" s="1"/>
  <c r="GM122" i="1"/>
  <c r="AA182" i="5"/>
  <c r="V202" i="5"/>
  <c r="H202" i="5"/>
  <c r="CY292" i="1"/>
  <c r="X292" i="1" s="1"/>
  <c r="AA420" i="5" s="1"/>
  <c r="X420" i="5"/>
  <c r="I421" i="5"/>
  <c r="K306" i="5"/>
  <c r="Y306" i="5"/>
  <c r="H264" i="5"/>
  <c r="V264" i="5"/>
  <c r="V306" i="5"/>
  <c r="H306" i="5"/>
  <c r="K226" i="5"/>
  <c r="Y226" i="5"/>
  <c r="G199" i="5"/>
  <c r="AA191" i="5"/>
  <c r="AI124" i="1"/>
  <c r="K109" i="5"/>
  <c r="Z108" i="5"/>
  <c r="GN34" i="1"/>
  <c r="G41" i="5"/>
  <c r="AA38" i="5"/>
  <c r="CJ40" i="1"/>
  <c r="K131" i="5"/>
  <c r="Z130" i="5"/>
  <c r="W251" i="5"/>
  <c r="I251" i="5"/>
  <c r="CP201" i="1"/>
  <c r="O201" i="1" s="1"/>
  <c r="V82" i="5"/>
  <c r="H82" i="5"/>
  <c r="W71" i="5"/>
  <c r="I185" i="5" s="1"/>
  <c r="I71" i="5"/>
  <c r="CP108" i="1"/>
  <c r="O108" i="1" s="1"/>
  <c r="CY290" i="1"/>
  <c r="X290" i="1" s="1"/>
  <c r="AA416" i="5" s="1"/>
  <c r="X416" i="5"/>
  <c r="I417" i="5"/>
  <c r="CP290" i="1"/>
  <c r="O290" i="1" s="1"/>
  <c r="U416" i="5"/>
  <c r="K239" i="5"/>
  <c r="Y239" i="5"/>
  <c r="G43" i="5"/>
  <c r="G38" i="5"/>
  <c r="T38" i="5"/>
  <c r="E95" i="5"/>
  <c r="E105" i="5"/>
  <c r="T228" i="5"/>
  <c r="G228" i="5"/>
  <c r="G238" i="5"/>
  <c r="AB95" i="5"/>
  <c r="G104" i="5"/>
  <c r="G164" i="5"/>
  <c r="T164" i="5"/>
  <c r="Y106" i="5"/>
  <c r="K106" i="5"/>
  <c r="G79" i="5"/>
  <c r="AA71" i="5"/>
  <c r="E380" i="5"/>
  <c r="E389" i="5"/>
  <c r="Q242" i="1"/>
  <c r="GN291" i="1"/>
  <c r="AA418" i="5"/>
  <c r="AB335" i="5"/>
  <c r="G345" i="5"/>
  <c r="E264" i="5"/>
  <c r="E274" i="5"/>
  <c r="W191" i="5"/>
  <c r="I191" i="5"/>
  <c r="CZ109" i="1"/>
  <c r="Y109" i="1" s="1"/>
  <c r="AB82" i="5" s="1"/>
  <c r="E317" i="5"/>
  <c r="E327" i="5"/>
  <c r="W82" i="5"/>
  <c r="I82" i="5"/>
  <c r="K417" i="5"/>
  <c r="Z416" i="5"/>
  <c r="K445" i="5" s="1"/>
  <c r="W26" i="5"/>
  <c r="I26" i="5"/>
  <c r="AD40" i="1"/>
  <c r="CP112" i="1"/>
  <c r="O112" i="1" s="1"/>
  <c r="W106" i="5"/>
  <c r="I106" i="5"/>
  <c r="E202" i="5"/>
  <c r="E212" i="5"/>
  <c r="G303" i="5"/>
  <c r="T293" i="5"/>
  <c r="G293" i="5"/>
  <c r="Z202" i="5"/>
  <c r="K203" i="5"/>
  <c r="I202" i="5"/>
  <c r="W202" i="5"/>
  <c r="W226" i="5"/>
  <c r="I226" i="5"/>
  <c r="GM111" i="1"/>
  <c r="AA95" i="5"/>
  <c r="G103" i="5"/>
  <c r="K61" i="5"/>
  <c r="Y61" i="5"/>
  <c r="W130" i="5"/>
  <c r="I130" i="5"/>
  <c r="E390" i="5"/>
  <c r="E400" i="5"/>
  <c r="T365" i="5"/>
  <c r="G365" i="5"/>
  <c r="G162" i="5"/>
  <c r="AB153" i="5"/>
  <c r="K130" i="5"/>
  <c r="Y130" i="5"/>
  <c r="E335" i="5"/>
  <c r="E346" i="5"/>
  <c r="H226" i="5"/>
  <c r="V226" i="5"/>
  <c r="E130" i="5"/>
  <c r="E141" i="5"/>
  <c r="G346" i="5"/>
  <c r="T335" i="5"/>
  <c r="G335" i="5"/>
  <c r="Y264" i="5"/>
  <c r="K264" i="5"/>
  <c r="AI296" i="1"/>
  <c r="Z420" i="5"/>
  <c r="K421" i="5"/>
  <c r="AH296" i="1"/>
  <c r="AH277" i="1" s="1"/>
  <c r="Y420" i="5"/>
  <c r="K444" i="5" s="1"/>
  <c r="K420" i="5"/>
  <c r="CP280" i="1"/>
  <c r="O280" i="1" s="1"/>
  <c r="P204" i="1"/>
  <c r="U275" i="5" s="1"/>
  <c r="CP164" i="1"/>
  <c r="O164" i="1" s="1"/>
  <c r="W239" i="5"/>
  <c r="I239" i="5"/>
  <c r="D45" i="6"/>
  <c r="D242" i="5"/>
  <c r="GN122" i="1"/>
  <c r="AB182" i="5"/>
  <c r="X226" i="5"/>
  <c r="I227" i="5"/>
  <c r="R160" i="1"/>
  <c r="D40" i="6"/>
  <c r="D213" i="5"/>
  <c r="V108" i="5"/>
  <c r="H108" i="5"/>
  <c r="AE124" i="1"/>
  <c r="I109" i="5"/>
  <c r="X108" i="5"/>
  <c r="T304" i="5"/>
  <c r="G304" i="5"/>
  <c r="GM286" i="1"/>
  <c r="G399" i="5"/>
  <c r="AB390" i="5"/>
  <c r="GN286" i="1"/>
  <c r="K227" i="5"/>
  <c r="Z226" i="5"/>
  <c r="AD124" i="1"/>
  <c r="W108" i="5"/>
  <c r="I108" i="5"/>
  <c r="T82" i="5"/>
  <c r="G82" i="5"/>
  <c r="GM282" i="1"/>
  <c r="HD282" i="1" s="1"/>
  <c r="V401" i="5"/>
  <c r="H444" i="5" s="1"/>
  <c r="H401" i="5"/>
  <c r="CZ287" i="1"/>
  <c r="Y287" i="1" s="1"/>
  <c r="AB401" i="5" s="1"/>
  <c r="CY287" i="1"/>
  <c r="X287" i="1" s="1"/>
  <c r="H191" i="5"/>
  <c r="V191" i="5"/>
  <c r="CZ158" i="1"/>
  <c r="Y158" i="1" s="1"/>
  <c r="X106" i="5"/>
  <c r="I186" i="5" s="1"/>
  <c r="I107" i="5"/>
  <c r="E119" i="5"/>
  <c r="E129" i="5"/>
  <c r="K56" i="5"/>
  <c r="Z55" i="5"/>
  <c r="AB380" i="5"/>
  <c r="G388" i="5"/>
  <c r="G344" i="5"/>
  <c r="AA335" i="5"/>
  <c r="G398" i="5"/>
  <c r="AA390" i="5"/>
  <c r="T367" i="5"/>
  <c r="G367" i="5"/>
  <c r="AB251" i="5"/>
  <c r="G260" i="5"/>
  <c r="G129" i="5"/>
  <c r="T119" i="5"/>
  <c r="G119" i="5"/>
  <c r="G35" i="5"/>
  <c r="AA32" i="5"/>
  <c r="W95" i="5"/>
  <c r="I95" i="5"/>
  <c r="W262" i="5"/>
  <c r="I262" i="5"/>
  <c r="K83" i="5"/>
  <c r="Z82" i="5"/>
  <c r="Y142" i="5"/>
  <c r="K142" i="5"/>
  <c r="K82" i="5"/>
  <c r="Y82" i="5"/>
  <c r="K185" i="5" s="1"/>
  <c r="G418" i="5"/>
  <c r="T418" i="5"/>
  <c r="W293" i="5"/>
  <c r="I293" i="5"/>
  <c r="H142" i="5"/>
  <c r="V142" i="5"/>
  <c r="CZ116" i="1"/>
  <c r="Y116" i="1" s="1"/>
  <c r="CY116" i="1"/>
  <c r="X116" i="1" s="1"/>
  <c r="I32" i="5"/>
  <c r="W32" i="5"/>
  <c r="CP33" i="1"/>
  <c r="O33" i="1" s="1"/>
  <c r="D54" i="6"/>
  <c r="C308" i="5"/>
  <c r="D306" i="5"/>
  <c r="W242" i="1"/>
  <c r="V242" i="1"/>
  <c r="AH124" i="1"/>
  <c r="K108" i="5"/>
  <c r="Y108" i="5"/>
  <c r="GN293" i="1"/>
  <c r="D24" i="6"/>
  <c r="D61" i="5"/>
  <c r="P38" i="1"/>
  <c r="R38" i="1"/>
  <c r="CZ38" i="1" s="1"/>
  <c r="Y38" i="1" s="1"/>
  <c r="GX38" i="1"/>
  <c r="T38" i="1"/>
  <c r="AG40" i="1" s="1"/>
  <c r="W38" i="1"/>
  <c r="AJ40" i="1" s="1"/>
  <c r="V38" i="1"/>
  <c r="Q38" i="1"/>
  <c r="CP117" i="1"/>
  <c r="O117" i="1" s="1"/>
  <c r="H293" i="5"/>
  <c r="V293" i="5"/>
  <c r="I403" i="5"/>
  <c r="W403" i="5"/>
  <c r="W55" i="5"/>
  <c r="I55" i="5"/>
  <c r="K55" i="5"/>
  <c r="Y55" i="5"/>
  <c r="CP32" i="1"/>
  <c r="O32" i="1" s="1"/>
  <c r="K107" i="5"/>
  <c r="Z106" i="5"/>
  <c r="W44" i="5"/>
  <c r="I44" i="5"/>
  <c r="CP35" i="1"/>
  <c r="O35" i="1" s="1"/>
  <c r="T215" i="5"/>
  <c r="G215" i="5"/>
  <c r="G225" i="5"/>
  <c r="G42" i="5"/>
  <c r="AB38" i="5"/>
  <c r="CP36" i="1"/>
  <c r="O36" i="1" s="1"/>
  <c r="GN164" i="1"/>
  <c r="GM164" i="1"/>
  <c r="HD164" i="1" s="1"/>
  <c r="AD106" i="1"/>
  <c r="Q124" i="1"/>
  <c r="AD277" i="1"/>
  <c r="Q296" i="1"/>
  <c r="AE106" i="1"/>
  <c r="R124" i="1"/>
  <c r="AJ277" i="1"/>
  <c r="W296" i="1"/>
  <c r="GM279" i="1"/>
  <c r="GN279" i="1"/>
  <c r="CP292" i="1"/>
  <c r="O292" i="1" s="1"/>
  <c r="AP277" i="1"/>
  <c r="F305" i="1"/>
  <c r="AZ199" i="1"/>
  <c r="F217" i="1"/>
  <c r="U296" i="1"/>
  <c r="GN280" i="1"/>
  <c r="GM280" i="1"/>
  <c r="GN240" i="1"/>
  <c r="GM240" i="1"/>
  <c r="CX118" i="3"/>
  <c r="GX204" i="1"/>
  <c r="CJ206" i="1" s="1"/>
  <c r="S204" i="1"/>
  <c r="T204" i="1"/>
  <c r="AG206" i="1" s="1"/>
  <c r="U204" i="1"/>
  <c r="W204" i="1"/>
  <c r="V204" i="1"/>
  <c r="Q204" i="1"/>
  <c r="AZ106" i="1"/>
  <c r="F135" i="1"/>
  <c r="AZ156" i="1"/>
  <c r="F178" i="1"/>
  <c r="CY159" i="1"/>
  <c r="X159" i="1" s="1"/>
  <c r="CZ159" i="1"/>
  <c r="Y159" i="1" s="1"/>
  <c r="AG106" i="1"/>
  <c r="T124" i="1"/>
  <c r="CJ106" i="1"/>
  <c r="BA124" i="1"/>
  <c r="CY203" i="1"/>
  <c r="X203" i="1" s="1"/>
  <c r="AF206" i="1"/>
  <c r="CZ203" i="1"/>
  <c r="Y203" i="1" s="1"/>
  <c r="AX277" i="1"/>
  <c r="F303" i="1"/>
  <c r="CZ242" i="1"/>
  <c r="Y242" i="1" s="1"/>
  <c r="CY242" i="1"/>
  <c r="X242" i="1" s="1"/>
  <c r="CX128" i="3"/>
  <c r="P243" i="1"/>
  <c r="U317" i="5" s="1"/>
  <c r="GX243" i="1"/>
  <c r="CJ245" i="1" s="1"/>
  <c r="R243" i="1"/>
  <c r="U243" i="1"/>
  <c r="T243" i="1"/>
  <c r="V243" i="1"/>
  <c r="W243" i="1"/>
  <c r="AJ245" i="1" s="1"/>
  <c r="S243" i="1"/>
  <c r="CP203" i="1"/>
  <c r="O203" i="1" s="1"/>
  <c r="AX199" i="1"/>
  <c r="F213" i="1"/>
  <c r="AE296" i="1"/>
  <c r="Q243" i="1"/>
  <c r="CP162" i="1"/>
  <c r="O162" i="1" s="1"/>
  <c r="GM115" i="1"/>
  <c r="GN115" i="1"/>
  <c r="AI106" i="1"/>
  <c r="V124" i="1"/>
  <c r="GN109" i="1"/>
  <c r="GM109" i="1"/>
  <c r="U30" i="1"/>
  <c r="BC26" i="1"/>
  <c r="F342" i="1"/>
  <c r="BC363" i="1"/>
  <c r="BB26" i="1"/>
  <c r="BB363" i="1"/>
  <c r="F339" i="1"/>
  <c r="AP326" i="1"/>
  <c r="GM34" i="1"/>
  <c r="CZ292" i="1"/>
  <c r="Y292" i="1" s="1"/>
  <c r="AI277" i="1"/>
  <c r="V296" i="1"/>
  <c r="AZ238" i="1"/>
  <c r="F256" i="1"/>
  <c r="CI277" i="1"/>
  <c r="AZ296" i="1"/>
  <c r="AZ326" i="1" s="1"/>
  <c r="CJ277" i="1"/>
  <c r="BA296" i="1"/>
  <c r="CF296" i="1"/>
  <c r="AX238" i="1"/>
  <c r="F252" i="1"/>
  <c r="AX156" i="1"/>
  <c r="F174" i="1"/>
  <c r="CZ162" i="1"/>
  <c r="Y162" i="1" s="1"/>
  <c r="AB226" i="5" s="1"/>
  <c r="CY162" i="1"/>
  <c r="X162" i="1" s="1"/>
  <c r="AA226" i="5" s="1"/>
  <c r="GX165" i="1"/>
  <c r="U165" i="1"/>
  <c r="V165" i="1"/>
  <c r="R165" i="1"/>
  <c r="S165" i="1"/>
  <c r="Q165" i="1"/>
  <c r="T165" i="1"/>
  <c r="W165" i="1"/>
  <c r="GM159" i="1"/>
  <c r="GN159" i="1"/>
  <c r="GN158" i="1"/>
  <c r="GM158" i="1"/>
  <c r="GX160" i="1"/>
  <c r="W160" i="1"/>
  <c r="V160" i="1"/>
  <c r="Q160" i="1"/>
  <c r="U160" i="1"/>
  <c r="S160" i="1"/>
  <c r="T160" i="1"/>
  <c r="CZ113" i="1"/>
  <c r="Y113" i="1" s="1"/>
  <c r="CY113" i="1"/>
  <c r="X113" i="1" s="1"/>
  <c r="AF124" i="1"/>
  <c r="AO26" i="1"/>
  <c r="F330" i="1"/>
  <c r="AO363" i="1"/>
  <c r="AG277" i="1"/>
  <c r="T296" i="1"/>
  <c r="GM241" i="1"/>
  <c r="GN241" i="1"/>
  <c r="AJ206" i="1"/>
  <c r="AT277" i="1"/>
  <c r="F314" i="1"/>
  <c r="AG245" i="1"/>
  <c r="R204" i="1"/>
  <c r="AX106" i="1"/>
  <c r="F131" i="1"/>
  <c r="P165" i="1"/>
  <c r="P160" i="1"/>
  <c r="GM119" i="1"/>
  <c r="GN119" i="1"/>
  <c r="AJ106" i="1"/>
  <c r="W124" i="1"/>
  <c r="CP113" i="1"/>
  <c r="O113" i="1" s="1"/>
  <c r="AC124" i="1"/>
  <c r="AQ26" i="1"/>
  <c r="F336" i="1"/>
  <c r="AQ363" i="1"/>
  <c r="AX326" i="1"/>
  <c r="AU26" i="1"/>
  <c r="AU363" i="1"/>
  <c r="F345" i="1"/>
  <c r="AT326" i="1"/>
  <c r="AF277" i="1"/>
  <c r="S296" i="1"/>
  <c r="CM296" i="1"/>
  <c r="T40" i="1" l="1"/>
  <c r="AG30" i="1"/>
  <c r="K287" i="5"/>
  <c r="AB61" i="5"/>
  <c r="AL40" i="1"/>
  <c r="AJ30" i="1"/>
  <c r="W40" i="1"/>
  <c r="AE245" i="1"/>
  <c r="X317" i="5"/>
  <c r="I330" i="5" s="1"/>
  <c r="I318" i="5"/>
  <c r="AH106" i="1"/>
  <c r="U124" i="1"/>
  <c r="CJ30" i="1"/>
  <c r="BA40" i="1"/>
  <c r="AL124" i="1"/>
  <c r="G117" i="5"/>
  <c r="AB108" i="5"/>
  <c r="AD167" i="1"/>
  <c r="W213" i="5"/>
  <c r="I213" i="5"/>
  <c r="AE167" i="1"/>
  <c r="X242" i="5"/>
  <c r="I243" i="5"/>
  <c r="CE296" i="1"/>
  <c r="CE277" i="1" s="1"/>
  <c r="T226" i="5"/>
  <c r="G226" i="5"/>
  <c r="AI245" i="1"/>
  <c r="K318" i="5"/>
  <c r="Z317" i="5"/>
  <c r="G315" i="5"/>
  <c r="AB306" i="5"/>
  <c r="AI206" i="1"/>
  <c r="AI199" i="1" s="1"/>
  <c r="K276" i="5"/>
  <c r="Z275" i="5"/>
  <c r="K288" i="5" s="1"/>
  <c r="V275" i="5"/>
  <c r="H287" i="5" s="1"/>
  <c r="H275" i="5"/>
  <c r="U61" i="5"/>
  <c r="CP38" i="1"/>
  <c r="O38" i="1" s="1"/>
  <c r="AC40" i="1"/>
  <c r="Z306" i="5"/>
  <c r="K330" i="5" s="1"/>
  <c r="K307" i="5"/>
  <c r="GN116" i="1"/>
  <c r="G150" i="5"/>
  <c r="AA142" i="5"/>
  <c r="K186" i="5"/>
  <c r="AA401" i="5"/>
  <c r="GN287" i="1"/>
  <c r="T347" i="5"/>
  <c r="G347" i="5"/>
  <c r="G358" i="5"/>
  <c r="I287" i="5"/>
  <c r="CP165" i="1"/>
  <c r="O165" i="1" s="1"/>
  <c r="U242" i="5"/>
  <c r="AH167" i="1"/>
  <c r="K213" i="5"/>
  <c r="Y213" i="5"/>
  <c r="H242" i="5"/>
  <c r="V242" i="5"/>
  <c r="G314" i="5"/>
  <c r="AA306" i="5"/>
  <c r="T153" i="5"/>
  <c r="G163" i="5"/>
  <c r="G153" i="5"/>
  <c r="GN117" i="1"/>
  <c r="GM117" i="1"/>
  <c r="Z61" i="5"/>
  <c r="K65" i="5" s="1"/>
  <c r="K62" i="5"/>
  <c r="X61" i="5"/>
  <c r="I451" i="5" s="1"/>
  <c r="I62" i="5"/>
  <c r="AD30" i="1"/>
  <c r="Q40" i="1"/>
  <c r="I306" i="5"/>
  <c r="W306" i="5"/>
  <c r="AF30" i="1"/>
  <c r="S40" i="1"/>
  <c r="K64" i="5"/>
  <c r="G118" i="5"/>
  <c r="T108" i="5"/>
  <c r="G108" i="5"/>
  <c r="AI167" i="1"/>
  <c r="V167" i="1" s="1"/>
  <c r="K214" i="5"/>
  <c r="Z213" i="5"/>
  <c r="K246" i="5" s="1"/>
  <c r="K243" i="5"/>
  <c r="Z242" i="5"/>
  <c r="P296" i="1"/>
  <c r="AL296" i="1"/>
  <c r="AB420" i="5"/>
  <c r="AD245" i="1"/>
  <c r="AD238" i="1" s="1"/>
  <c r="W317" i="5"/>
  <c r="I317" i="5"/>
  <c r="G274" i="5"/>
  <c r="T264" i="5"/>
  <c r="G264" i="5"/>
  <c r="G272" i="5"/>
  <c r="AA264" i="5"/>
  <c r="G211" i="5"/>
  <c r="AB202" i="5"/>
  <c r="AC206" i="1"/>
  <c r="GM35" i="1"/>
  <c r="GN35" i="1"/>
  <c r="G54" i="5"/>
  <c r="G44" i="5"/>
  <c r="T44" i="5"/>
  <c r="G37" i="5"/>
  <c r="T32" i="5"/>
  <c r="G32" i="5"/>
  <c r="GM33" i="1"/>
  <c r="GN33" i="1"/>
  <c r="G151" i="5"/>
  <c r="AB142" i="5"/>
  <c r="I329" i="5"/>
  <c r="AB191" i="5"/>
  <c r="G200" i="5"/>
  <c r="X213" i="5"/>
  <c r="I246" i="5" s="1"/>
  <c r="I214" i="5"/>
  <c r="T416" i="5"/>
  <c r="G416" i="5"/>
  <c r="GM290" i="1"/>
  <c r="GN290" i="1"/>
  <c r="G81" i="5"/>
  <c r="T71" i="5"/>
  <c r="G71" i="5"/>
  <c r="GN108" i="1"/>
  <c r="GM108" i="1"/>
  <c r="T202" i="5"/>
  <c r="G202" i="5"/>
  <c r="G212" i="5"/>
  <c r="AE40" i="1"/>
  <c r="AK296" i="1"/>
  <c r="CP242" i="1"/>
  <c r="O242" i="1" s="1"/>
  <c r="CY38" i="1"/>
  <c r="X38" i="1" s="1"/>
  <c r="AK124" i="1"/>
  <c r="AK106" i="1" s="1"/>
  <c r="AA108" i="5"/>
  <c r="G116" i="5"/>
  <c r="G273" i="5"/>
  <c r="AB264" i="5"/>
  <c r="AD206" i="1"/>
  <c r="W275" i="5"/>
  <c r="I275" i="5"/>
  <c r="T55" i="5"/>
  <c r="G55" i="5"/>
  <c r="GM36" i="1"/>
  <c r="HD36" i="1" s="1"/>
  <c r="GN36" i="1"/>
  <c r="CP160" i="1"/>
  <c r="O160" i="1" s="1"/>
  <c r="U213" i="5"/>
  <c r="AE206" i="1"/>
  <c r="I276" i="5"/>
  <c r="X275" i="5"/>
  <c r="I288" i="5" s="1"/>
  <c r="AF167" i="1"/>
  <c r="H213" i="5"/>
  <c r="V213" i="5"/>
  <c r="H450" i="5" s="1"/>
  <c r="AJ167" i="1"/>
  <c r="AJ156" i="1" s="1"/>
  <c r="I242" i="5"/>
  <c r="W242" i="5"/>
  <c r="I245" i="5" s="1"/>
  <c r="Y242" i="5"/>
  <c r="K242" i="5"/>
  <c r="CH296" i="1"/>
  <c r="AF245" i="1"/>
  <c r="V317" i="5"/>
  <c r="H329" i="5" s="1"/>
  <c r="H317" i="5"/>
  <c r="AH245" i="1"/>
  <c r="Y317" i="5"/>
  <c r="K317" i="5"/>
  <c r="AA202" i="5"/>
  <c r="G210" i="5"/>
  <c r="AH206" i="1"/>
  <c r="K275" i="5"/>
  <c r="Y275" i="5"/>
  <c r="T420" i="5"/>
  <c r="G420" i="5"/>
  <c r="G31" i="5"/>
  <c r="T26" i="5"/>
  <c r="G26" i="5"/>
  <c r="AB40" i="1"/>
  <c r="GM32" i="1"/>
  <c r="GN32" i="1"/>
  <c r="I61" i="5"/>
  <c r="W61" i="5"/>
  <c r="I64" i="5" s="1"/>
  <c r="AI40" i="1"/>
  <c r="H245" i="5"/>
  <c r="T239" i="5"/>
  <c r="G239" i="5"/>
  <c r="G444" i="5"/>
  <c r="T106" i="5"/>
  <c r="G106" i="5"/>
  <c r="GM112" i="1"/>
  <c r="GN112" i="1"/>
  <c r="G261" i="5"/>
  <c r="T251" i="5"/>
  <c r="G251" i="5"/>
  <c r="GM201" i="1"/>
  <c r="GN201" i="1"/>
  <c r="T191" i="5"/>
  <c r="G142" i="5"/>
  <c r="T142" i="5"/>
  <c r="G152" i="5"/>
  <c r="GM116" i="1"/>
  <c r="K329" i="5"/>
  <c r="GM287" i="1"/>
  <c r="AI156" i="1"/>
  <c r="AZ26" i="1"/>
  <c r="F337" i="1"/>
  <c r="AZ363" i="1"/>
  <c r="AL277" i="1"/>
  <c r="Y296" i="1"/>
  <c r="T206" i="1"/>
  <c r="AG199" i="1"/>
  <c r="CJ199" i="1"/>
  <c r="BA206" i="1"/>
  <c r="AE199" i="1"/>
  <c r="R206" i="1"/>
  <c r="AF156" i="1"/>
  <c r="S167" i="1"/>
  <c r="AD156" i="1"/>
  <c r="Q167" i="1"/>
  <c r="AE156" i="1"/>
  <c r="R167" i="1"/>
  <c r="AF238" i="1"/>
  <c r="S245" i="1"/>
  <c r="AH199" i="1"/>
  <c r="U206" i="1"/>
  <c r="CM277" i="1"/>
  <c r="BD296" i="1"/>
  <c r="S277" i="1"/>
  <c r="F311" i="1"/>
  <c r="AT26" i="1"/>
  <c r="F344" i="1"/>
  <c r="AT363" i="1"/>
  <c r="AU22" i="1"/>
  <c r="AU398" i="1"/>
  <c r="F382" i="1"/>
  <c r="AQ22" i="1"/>
  <c r="F373" i="1"/>
  <c r="AQ398" i="1"/>
  <c r="AC106" i="1"/>
  <c r="P124" i="1"/>
  <c r="CE124" i="1"/>
  <c r="CF124" i="1"/>
  <c r="CH124" i="1"/>
  <c r="W106" i="1"/>
  <c r="F148" i="1"/>
  <c r="AJ199" i="1"/>
  <c r="W206" i="1"/>
  <c r="AG167" i="1"/>
  <c r="AH156" i="1"/>
  <c r="U167" i="1"/>
  <c r="CJ167" i="1"/>
  <c r="CH277" i="1"/>
  <c r="AY296" i="1"/>
  <c r="AP26" i="1"/>
  <c r="AP363" i="1"/>
  <c r="F335" i="1"/>
  <c r="BB22" i="1"/>
  <c r="BB398" i="1"/>
  <c r="F376" i="1"/>
  <c r="BC22" i="1"/>
  <c r="F379" i="1"/>
  <c r="BC398" i="1"/>
  <c r="V106" i="1"/>
  <c r="F147" i="1"/>
  <c r="GN162" i="1"/>
  <c r="GM162" i="1"/>
  <c r="AE277" i="1"/>
  <c r="R296" i="1"/>
  <c r="GM203" i="1"/>
  <c r="GN203" i="1"/>
  <c r="AJ238" i="1"/>
  <c r="W245" i="1"/>
  <c r="AE238" i="1"/>
  <c r="R245" i="1"/>
  <c r="CP243" i="1"/>
  <c r="O243" i="1" s="1"/>
  <c r="AC245" i="1"/>
  <c r="AF199" i="1"/>
  <c r="S206" i="1"/>
  <c r="BA106" i="1"/>
  <c r="F144" i="1"/>
  <c r="T106" i="1"/>
  <c r="F145" i="1"/>
  <c r="AD199" i="1"/>
  <c r="Q206" i="1"/>
  <c r="GM292" i="1"/>
  <c r="CA296" i="1" s="1"/>
  <c r="GN292" i="1"/>
  <c r="CB296" i="1" s="1"/>
  <c r="W277" i="1"/>
  <c r="F320" i="1"/>
  <c r="CP204" i="1"/>
  <c r="O204" i="1" s="1"/>
  <c r="Q277" i="1"/>
  <c r="F308" i="1"/>
  <c r="Q106" i="1"/>
  <c r="F136" i="1"/>
  <c r="AX26" i="1"/>
  <c r="F333" i="1"/>
  <c r="AX363" i="1"/>
  <c r="GN113" i="1"/>
  <c r="GM113" i="1"/>
  <c r="AB124" i="1"/>
  <c r="AG238" i="1"/>
  <c r="T245" i="1"/>
  <c r="T277" i="1"/>
  <c r="F317" i="1"/>
  <c r="AO22" i="1"/>
  <c r="F367" i="1"/>
  <c r="AO398" i="1"/>
  <c r="AF106" i="1"/>
  <c r="S124" i="1"/>
  <c r="AL106" i="1"/>
  <c r="Y124" i="1"/>
  <c r="CZ160" i="1"/>
  <c r="Y160" i="1" s="1"/>
  <c r="AB213" i="5" s="1"/>
  <c r="CY160" i="1"/>
  <c r="X160" i="1" s="1"/>
  <c r="CZ165" i="1"/>
  <c r="Y165" i="1" s="1"/>
  <c r="AB242" i="5" s="1"/>
  <c r="CY165" i="1"/>
  <c r="X165" i="1" s="1"/>
  <c r="CF277" i="1"/>
  <c r="AW296" i="1"/>
  <c r="P277" i="1"/>
  <c r="F299" i="1"/>
  <c r="BA277" i="1"/>
  <c r="F316" i="1"/>
  <c r="AZ277" i="1"/>
  <c r="F307" i="1"/>
  <c r="V277" i="1"/>
  <c r="F319" i="1"/>
  <c r="CY243" i="1"/>
  <c r="X243" i="1" s="1"/>
  <c r="CZ243" i="1"/>
  <c r="Y243" i="1" s="1"/>
  <c r="AI238" i="1"/>
  <c r="V245" i="1"/>
  <c r="AH238" i="1"/>
  <c r="U245" i="1"/>
  <c r="CJ238" i="1"/>
  <c r="BA245" i="1"/>
  <c r="AC167" i="1"/>
  <c r="AL167" i="1"/>
  <c r="CZ204" i="1"/>
  <c r="Y204" i="1" s="1"/>
  <c r="CY204" i="1"/>
  <c r="X204" i="1" s="1"/>
  <c r="U277" i="1"/>
  <c r="F318" i="1"/>
  <c r="P206" i="1"/>
  <c r="CE206" i="1"/>
  <c r="AC199" i="1"/>
  <c r="CF206" i="1"/>
  <c r="CH206" i="1"/>
  <c r="AB296" i="1"/>
  <c r="R106" i="1"/>
  <c r="F138" i="1"/>
  <c r="G327" i="5" l="1"/>
  <c r="T317" i="5"/>
  <c r="G317" i="5"/>
  <c r="G185" i="5"/>
  <c r="F146" i="1"/>
  <c r="U106" i="1"/>
  <c r="Q245" i="1"/>
  <c r="F257" i="1" s="1"/>
  <c r="CA124" i="1"/>
  <c r="X124" i="1"/>
  <c r="AB30" i="1"/>
  <c r="O40" i="1"/>
  <c r="AA61" i="5"/>
  <c r="AK40" i="1"/>
  <c r="R40" i="1"/>
  <c r="AE30" i="1"/>
  <c r="S30" i="1"/>
  <c r="F55" i="1"/>
  <c r="K245" i="5"/>
  <c r="T242" i="5"/>
  <c r="G450" i="5" s="1"/>
  <c r="G242" i="5"/>
  <c r="P40" i="1"/>
  <c r="CH40" i="1"/>
  <c r="CE40" i="1"/>
  <c r="AC30" i="1"/>
  <c r="CF40" i="1"/>
  <c r="AK245" i="1"/>
  <c r="G325" i="5"/>
  <c r="AA317" i="5"/>
  <c r="GN165" i="1"/>
  <c r="AA242" i="5"/>
  <c r="G285" i="5"/>
  <c r="T275" i="5"/>
  <c r="G275" i="5"/>
  <c r="V40" i="1"/>
  <c r="AI30" i="1"/>
  <c r="T213" i="5"/>
  <c r="G245" i="5" s="1"/>
  <c r="G213" i="5"/>
  <c r="AL206" i="1"/>
  <c r="G284" i="5"/>
  <c r="AB275" i="5"/>
  <c r="V206" i="1"/>
  <c r="AB167" i="1"/>
  <c r="CB124" i="1"/>
  <c r="CB106" i="1" s="1"/>
  <c r="AV296" i="1"/>
  <c r="W167" i="1"/>
  <c r="W326" i="1" s="1"/>
  <c r="G287" i="5"/>
  <c r="G316" i="5"/>
  <c r="T306" i="5"/>
  <c r="G329" i="5" s="1"/>
  <c r="G306" i="5"/>
  <c r="GM242" i="1"/>
  <c r="GN242" i="1"/>
  <c r="I450" i="5"/>
  <c r="Q30" i="1"/>
  <c r="F52" i="1"/>
  <c r="I65" i="5"/>
  <c r="T61" i="5"/>
  <c r="G61" i="5"/>
  <c r="GN38" i="1"/>
  <c r="GM38" i="1"/>
  <c r="HD38" i="1" s="1"/>
  <c r="CM40" i="1" s="1"/>
  <c r="F60" i="1"/>
  <c r="BA30" i="1"/>
  <c r="K450" i="5"/>
  <c r="K451" i="5"/>
  <c r="Y40" i="1"/>
  <c r="AL30" i="1"/>
  <c r="F61" i="1"/>
  <c r="T30" i="1"/>
  <c r="AK206" i="1"/>
  <c r="AA275" i="5"/>
  <c r="G283" i="5"/>
  <c r="AK277" i="1"/>
  <c r="X296" i="1"/>
  <c r="AL245" i="1"/>
  <c r="AL238" i="1" s="1"/>
  <c r="AB317" i="5"/>
  <c r="G326" i="5"/>
  <c r="GN160" i="1"/>
  <c r="AA213" i="5"/>
  <c r="CB40" i="1"/>
  <c r="G64" i="5"/>
  <c r="W30" i="1"/>
  <c r="F64" i="1"/>
  <c r="X206" i="1"/>
  <c r="AK199" i="1"/>
  <c r="AK238" i="1"/>
  <c r="X245" i="1"/>
  <c r="AL199" i="1"/>
  <c r="Y206" i="1"/>
  <c r="CB167" i="1"/>
  <c r="CB277" i="1"/>
  <c r="AS296" i="1"/>
  <c r="AB277" i="1"/>
  <c r="O296" i="1"/>
  <c r="CE199" i="1"/>
  <c r="AV206" i="1"/>
  <c r="CA277" i="1"/>
  <c r="AR296" i="1"/>
  <c r="CH199" i="1"/>
  <c r="AY206" i="1"/>
  <c r="P199" i="1"/>
  <c r="F209" i="1"/>
  <c r="V199" i="1"/>
  <c r="F229" i="1"/>
  <c r="AL156" i="1"/>
  <c r="Y167" i="1"/>
  <c r="W26" i="1"/>
  <c r="F350" i="1"/>
  <c r="W363" i="1"/>
  <c r="F265" i="1"/>
  <c r="BA238" i="1"/>
  <c r="F267" i="1"/>
  <c r="U238" i="1"/>
  <c r="V238" i="1"/>
  <c r="F268" i="1"/>
  <c r="AB156" i="1"/>
  <c r="O167" i="1"/>
  <c r="T238" i="1"/>
  <c r="F266" i="1"/>
  <c r="GM165" i="1"/>
  <c r="HD165" i="1" s="1"/>
  <c r="CM167" i="1" s="1"/>
  <c r="AB106" i="1"/>
  <c r="O124" i="1"/>
  <c r="Q199" i="1"/>
  <c r="F218" i="1"/>
  <c r="GM243" i="1"/>
  <c r="CA245" i="1" s="1"/>
  <c r="GN243" i="1"/>
  <c r="CB245" i="1" s="1"/>
  <c r="AB245" i="1"/>
  <c r="R277" i="1"/>
  <c r="F310" i="1"/>
  <c r="BC18" i="1"/>
  <c r="F414" i="1"/>
  <c r="BB18" i="1"/>
  <c r="F411" i="1"/>
  <c r="CJ156" i="1"/>
  <c r="BA167" i="1"/>
  <c r="CF106" i="1"/>
  <c r="AW124" i="1"/>
  <c r="P106" i="1"/>
  <c r="F127" i="1"/>
  <c r="BD277" i="1"/>
  <c r="F321" i="1"/>
  <c r="U199" i="1"/>
  <c r="F228" i="1"/>
  <c r="T199" i="1"/>
  <c r="F227" i="1"/>
  <c r="V156" i="1"/>
  <c r="F190" i="1"/>
  <c r="V326" i="1"/>
  <c r="X106" i="1"/>
  <c r="F150" i="1"/>
  <c r="CF199" i="1"/>
  <c r="AW206" i="1"/>
  <c r="AC156" i="1"/>
  <c r="P167" i="1"/>
  <c r="CE167" i="1"/>
  <c r="CH167" i="1"/>
  <c r="CF167" i="1"/>
  <c r="AW277" i="1"/>
  <c r="F302" i="1"/>
  <c r="AK167" i="1"/>
  <c r="Y106" i="1"/>
  <c r="F151" i="1"/>
  <c r="S106" i="1"/>
  <c r="F139" i="1"/>
  <c r="S326" i="1"/>
  <c r="AO18" i="1"/>
  <c r="F402" i="1"/>
  <c r="CA106" i="1"/>
  <c r="AR124" i="1"/>
  <c r="AX22" i="1"/>
  <c r="F370" i="1"/>
  <c r="AX398" i="1"/>
  <c r="GN204" i="1"/>
  <c r="CB206" i="1" s="1"/>
  <c r="GM204" i="1"/>
  <c r="F221" i="1"/>
  <c r="S199" i="1"/>
  <c r="CF245" i="1"/>
  <c r="CH245" i="1"/>
  <c r="AC238" i="1"/>
  <c r="P245" i="1"/>
  <c r="CE245" i="1"/>
  <c r="R238" i="1"/>
  <c r="F259" i="1"/>
  <c r="F269" i="1"/>
  <c r="W238" i="1"/>
  <c r="AB206" i="1"/>
  <c r="CA206" i="1"/>
  <c r="AP22" i="1"/>
  <c r="AP398" i="1"/>
  <c r="F372" i="1"/>
  <c r="G16" i="2" s="1"/>
  <c r="G18" i="2" s="1"/>
  <c r="AV277" i="1"/>
  <c r="F301" i="1"/>
  <c r="AY277" i="1"/>
  <c r="F304" i="1"/>
  <c r="U156" i="1"/>
  <c r="F189" i="1"/>
  <c r="U326" i="1"/>
  <c r="AG156" i="1"/>
  <c r="T167" i="1"/>
  <c r="W199" i="1"/>
  <c r="F230" i="1"/>
  <c r="GM160" i="1"/>
  <c r="CA167" i="1" s="1"/>
  <c r="CH106" i="1"/>
  <c r="AY124" i="1"/>
  <c r="CE106" i="1"/>
  <c r="AV124" i="1"/>
  <c r="AQ18" i="1"/>
  <c r="F408" i="1"/>
  <c r="AU18" i="1"/>
  <c r="F417" i="1"/>
  <c r="AT22" i="1"/>
  <c r="F381" i="1"/>
  <c r="F16" i="2" s="1"/>
  <c r="F18" i="2" s="1"/>
  <c r="AT398" i="1"/>
  <c r="S238" i="1"/>
  <c r="F260" i="1"/>
  <c r="R156" i="1"/>
  <c r="F181" i="1"/>
  <c r="W156" i="1"/>
  <c r="F191" i="1"/>
  <c r="Q156" i="1"/>
  <c r="F179" i="1"/>
  <c r="Q326" i="1"/>
  <c r="S156" i="1"/>
  <c r="F182" i="1"/>
  <c r="R199" i="1"/>
  <c r="F220" i="1"/>
  <c r="BA199" i="1"/>
  <c r="F226" i="1"/>
  <c r="Y277" i="1"/>
  <c r="F323" i="1"/>
  <c r="AZ22" i="1"/>
  <c r="F374" i="1"/>
  <c r="AZ398" i="1"/>
  <c r="CM30" i="1" l="1"/>
  <c r="BD40" i="1"/>
  <c r="Y326" i="1"/>
  <c r="Q238" i="1"/>
  <c r="Y245" i="1"/>
  <c r="AS124" i="1"/>
  <c r="X277" i="1"/>
  <c r="F322" i="1"/>
  <c r="F67" i="1"/>
  <c r="Y30" i="1"/>
  <c r="V30" i="1"/>
  <c r="F63" i="1"/>
  <c r="CH30" i="1"/>
  <c r="AY40" i="1"/>
  <c r="R326" i="1"/>
  <c r="R30" i="1"/>
  <c r="F54" i="1"/>
  <c r="AV40" i="1"/>
  <c r="CE30" i="1"/>
  <c r="O30" i="1"/>
  <c r="F42" i="1"/>
  <c r="AW40" i="1"/>
  <c r="CF30" i="1"/>
  <c r="P30" i="1"/>
  <c r="F43" i="1"/>
  <c r="X40" i="1"/>
  <c r="AK30" i="1"/>
  <c r="AS40" i="1"/>
  <c r="CB30" i="1"/>
  <c r="CA40" i="1"/>
  <c r="CB199" i="1"/>
  <c r="AS206" i="1"/>
  <c r="Q26" i="1"/>
  <c r="F338" i="1"/>
  <c r="Q363" i="1"/>
  <c r="AT18" i="1"/>
  <c r="F416" i="1"/>
  <c r="CA156" i="1"/>
  <c r="AR167" i="1"/>
  <c r="U26" i="1"/>
  <c r="F348" i="1"/>
  <c r="U363" i="1"/>
  <c r="AP18" i="1"/>
  <c r="F407" i="1"/>
  <c r="CF238" i="1"/>
  <c r="AW245" i="1"/>
  <c r="AZ18" i="1"/>
  <c r="F409" i="1"/>
  <c r="Y26" i="1"/>
  <c r="F353" i="1"/>
  <c r="F357" i="1" s="1"/>
  <c r="Y363" i="1"/>
  <c r="AB199" i="1"/>
  <c r="O206" i="1"/>
  <c r="P238" i="1"/>
  <c r="F248" i="1"/>
  <c r="CH238" i="1"/>
  <c r="AY245" i="1"/>
  <c r="AR106" i="1"/>
  <c r="F152" i="1"/>
  <c r="S26" i="1"/>
  <c r="F341" i="1"/>
  <c r="S363" i="1"/>
  <c r="CF156" i="1"/>
  <c r="AW167" i="1"/>
  <c r="CE156" i="1"/>
  <c r="AV167" i="1"/>
  <c r="AV326" i="1" s="1"/>
  <c r="AW106" i="1"/>
  <c r="F130" i="1"/>
  <c r="BA156" i="1"/>
  <c r="F187" i="1"/>
  <c r="BA326" i="1"/>
  <c r="CB238" i="1"/>
  <c r="AS245" i="1"/>
  <c r="O106" i="1"/>
  <c r="F126" i="1"/>
  <c r="CM156" i="1"/>
  <c r="BD167" i="1"/>
  <c r="W22" i="1"/>
  <c r="F387" i="1"/>
  <c r="W398" i="1"/>
  <c r="Y238" i="1"/>
  <c r="F272" i="1"/>
  <c r="Y199" i="1"/>
  <c r="F233" i="1"/>
  <c r="AS106" i="1"/>
  <c r="F141" i="1"/>
  <c r="X238" i="1"/>
  <c r="F271" i="1"/>
  <c r="AV106" i="1"/>
  <c r="F129" i="1"/>
  <c r="AY106" i="1"/>
  <c r="F132" i="1"/>
  <c r="T156" i="1"/>
  <c r="F188" i="1"/>
  <c r="T326" i="1"/>
  <c r="CA199" i="1"/>
  <c r="AR206" i="1"/>
  <c r="CE238" i="1"/>
  <c r="AV245" i="1"/>
  <c r="AX18" i="1"/>
  <c r="F405" i="1"/>
  <c r="AK156" i="1"/>
  <c r="X167" i="1"/>
  <c r="CH156" i="1"/>
  <c r="AY167" i="1"/>
  <c r="P156" i="1"/>
  <c r="F170" i="1"/>
  <c r="AW199" i="1"/>
  <c r="F212" i="1"/>
  <c r="V26" i="1"/>
  <c r="V363" i="1"/>
  <c r="F349" i="1"/>
  <c r="P326" i="1"/>
  <c r="AB238" i="1"/>
  <c r="O245" i="1"/>
  <c r="CA238" i="1"/>
  <c r="AR245" i="1"/>
  <c r="O156" i="1"/>
  <c r="F169" i="1"/>
  <c r="Y156" i="1"/>
  <c r="F194" i="1"/>
  <c r="AY199" i="1"/>
  <c r="F214" i="1"/>
  <c r="AR277" i="1"/>
  <c r="F324" i="1"/>
  <c r="AV199" i="1"/>
  <c r="F211" i="1"/>
  <c r="O277" i="1"/>
  <c r="F298" i="1"/>
  <c r="AS277" i="1"/>
  <c r="F313" i="1"/>
  <c r="CB156" i="1"/>
  <c r="AS167" i="1"/>
  <c r="X199" i="1"/>
  <c r="F232" i="1"/>
  <c r="AS30" i="1" l="1"/>
  <c r="F57" i="1"/>
  <c r="F340" i="1"/>
  <c r="R26" i="1"/>
  <c r="R363" i="1"/>
  <c r="CA30" i="1"/>
  <c r="AR40" i="1"/>
  <c r="F66" i="1"/>
  <c r="X30" i="1"/>
  <c r="AW30" i="1"/>
  <c r="F46" i="1"/>
  <c r="F45" i="1"/>
  <c r="AV30" i="1"/>
  <c r="AY30" i="1"/>
  <c r="F48" i="1"/>
  <c r="BD30" i="1"/>
  <c r="F65" i="1"/>
  <c r="AS156" i="1"/>
  <c r="F184" i="1"/>
  <c r="AS326" i="1"/>
  <c r="AV26" i="1"/>
  <c r="F331" i="1"/>
  <c r="AV363" i="1"/>
  <c r="AY156" i="1"/>
  <c r="F175" i="1"/>
  <c r="X156" i="1"/>
  <c r="F193" i="1"/>
  <c r="X326" i="1"/>
  <c r="AV238" i="1"/>
  <c r="F250" i="1"/>
  <c r="AR238" i="1"/>
  <c r="F273" i="1"/>
  <c r="F247" i="1"/>
  <c r="O238" i="1"/>
  <c r="P26" i="1"/>
  <c r="P363" i="1"/>
  <c r="F329" i="1"/>
  <c r="W18" i="1"/>
  <c r="F422" i="1"/>
  <c r="AS238" i="1"/>
  <c r="F262" i="1"/>
  <c r="BA26" i="1"/>
  <c r="F346" i="1"/>
  <c r="BA363" i="1"/>
  <c r="F253" i="1"/>
  <c r="AY238" i="1"/>
  <c r="O199" i="1"/>
  <c r="F208" i="1"/>
  <c r="Y22" i="1"/>
  <c r="F390" i="1"/>
  <c r="H455" i="5" s="1"/>
  <c r="Y398" i="1"/>
  <c r="AR156" i="1"/>
  <c r="F195" i="1"/>
  <c r="AR326" i="1"/>
  <c r="Q22" i="1"/>
  <c r="F375" i="1"/>
  <c r="Q398" i="1"/>
  <c r="V22" i="1"/>
  <c r="V398" i="1"/>
  <c r="F386" i="1"/>
  <c r="AR199" i="1"/>
  <c r="F234" i="1"/>
  <c r="T26" i="1"/>
  <c r="T363" i="1"/>
  <c r="F347" i="1"/>
  <c r="BD156" i="1"/>
  <c r="F192" i="1"/>
  <c r="BD326" i="1"/>
  <c r="O326" i="1"/>
  <c r="AV156" i="1"/>
  <c r="F172" i="1"/>
  <c r="AW156" i="1"/>
  <c r="F173" i="1"/>
  <c r="AW326" i="1"/>
  <c r="S22" i="1"/>
  <c r="F378" i="1"/>
  <c r="S398" i="1"/>
  <c r="F251" i="1"/>
  <c r="AW238" i="1"/>
  <c r="U22" i="1"/>
  <c r="F385" i="1"/>
  <c r="U398" i="1"/>
  <c r="AS199" i="1"/>
  <c r="F223" i="1"/>
  <c r="AY326" i="1"/>
  <c r="F68" i="1" l="1"/>
  <c r="AR30" i="1"/>
  <c r="R22" i="1"/>
  <c r="F377" i="1"/>
  <c r="I15" i="5" s="1"/>
  <c r="R398" i="1"/>
  <c r="J16" i="2"/>
  <c r="J18" i="2" s="1"/>
  <c r="I14" i="5"/>
  <c r="AY26" i="1"/>
  <c r="F334" i="1"/>
  <c r="AY363" i="1"/>
  <c r="S18" i="1"/>
  <c r="F413" i="1"/>
  <c r="O26" i="1"/>
  <c r="F328" i="1"/>
  <c r="F355" i="1" s="1"/>
  <c r="O363" i="1"/>
  <c r="V18" i="1"/>
  <c r="F421" i="1"/>
  <c r="Q18" i="1"/>
  <c r="F410" i="1"/>
  <c r="Y18" i="1"/>
  <c r="F425" i="1"/>
  <c r="AV22" i="1"/>
  <c r="F368" i="1"/>
  <c r="AV398" i="1"/>
  <c r="U18" i="1"/>
  <c r="F420" i="1"/>
  <c r="AW26" i="1"/>
  <c r="F332" i="1"/>
  <c r="AW363" i="1"/>
  <c r="BD26" i="1"/>
  <c r="BD363" i="1"/>
  <c r="F351" i="1"/>
  <c r="T22" i="1"/>
  <c r="T398" i="1"/>
  <c r="F384" i="1"/>
  <c r="AR26" i="1"/>
  <c r="F354" i="1"/>
  <c r="AR363" i="1"/>
  <c r="BA22" i="1"/>
  <c r="F383" i="1"/>
  <c r="H16" i="2" s="1"/>
  <c r="H18" i="2" s="1"/>
  <c r="BA398" i="1"/>
  <c r="P22" i="1"/>
  <c r="P398" i="1"/>
  <c r="F366" i="1"/>
  <c r="X26" i="1"/>
  <c r="F352" i="1"/>
  <c r="F356" i="1" s="1"/>
  <c r="X363" i="1"/>
  <c r="AS26" i="1"/>
  <c r="AS363" i="1"/>
  <c r="F343" i="1"/>
  <c r="R18" i="1" l="1"/>
  <c r="F412" i="1"/>
  <c r="AR22" i="1"/>
  <c r="F391" i="1"/>
  <c r="AR398" i="1"/>
  <c r="T18" i="1"/>
  <c r="F419" i="1"/>
  <c r="AV18" i="1"/>
  <c r="F403" i="1"/>
  <c r="F358" i="1"/>
  <c r="F359" i="1" s="1"/>
  <c r="AY22" i="1"/>
  <c r="F371" i="1"/>
  <c r="AY398" i="1"/>
  <c r="AS22" i="1"/>
  <c r="AS398" i="1"/>
  <c r="F380" i="1"/>
  <c r="E16" i="2" s="1"/>
  <c r="X22" i="1"/>
  <c r="F389" i="1"/>
  <c r="H454" i="5" s="1"/>
  <c r="X398" i="1"/>
  <c r="P18" i="1"/>
  <c r="F401" i="1"/>
  <c r="BA18" i="1"/>
  <c r="F418" i="1"/>
  <c r="BD22" i="1"/>
  <c r="F388" i="1"/>
  <c r="BD398" i="1"/>
  <c r="AW22" i="1"/>
  <c r="F369" i="1"/>
  <c r="AW398" i="1"/>
  <c r="O22" i="1"/>
  <c r="F365" i="1"/>
  <c r="O398" i="1"/>
  <c r="F392" i="1" l="1"/>
  <c r="H457" i="5" s="1"/>
  <c r="H456" i="5"/>
  <c r="AW18" i="1"/>
  <c r="F404" i="1"/>
  <c r="X18" i="1"/>
  <c r="F424" i="1"/>
  <c r="AS18" i="1"/>
  <c r="F415" i="1"/>
  <c r="AY18" i="1"/>
  <c r="F406" i="1"/>
  <c r="AR18" i="1"/>
  <c r="F426" i="1"/>
  <c r="O18" i="1"/>
  <c r="F400" i="1"/>
  <c r="BD18" i="1"/>
  <c r="F423" i="1"/>
  <c r="E18" i="2"/>
  <c r="I16" i="2"/>
  <c r="I18" i="2" s="1"/>
  <c r="F360" i="1"/>
  <c r="F361" i="1" s="1"/>
  <c r="F393" i="1"/>
  <c r="F394" i="1" l="1"/>
  <c r="H459" i="5" s="1"/>
  <c r="I13" i="5" s="1"/>
  <c r="H458" i="5"/>
</calcChain>
</file>

<file path=xl/sharedStrings.xml><?xml version="1.0" encoding="utf-8"?>
<sst xmlns="http://schemas.openxmlformats.org/spreadsheetml/2006/main" count="6247" uniqueCount="652">
  <si>
    <t>Smeta.RU  (495) 974-1589</t>
  </si>
  <si>
    <t>_PS_</t>
  </si>
  <si>
    <t>Smeta.RU</t>
  </si>
  <si>
    <t/>
  </si>
  <si>
    <t>Новый объект_(Копия)_(Копия)_(Копия)_(Копия)_(Копия)</t>
  </si>
  <si>
    <t>ул. Октябрьской Революции 4</t>
  </si>
  <si>
    <t>Сметные нормы списания</t>
  </si>
  <si>
    <t>Коды ценников</t>
  </si>
  <si>
    <t>ТР для Версии 10: Центральные регионы (с уч. п-ма 2536-ИП/12/ГС от 27.11.12, 01/57049-ЮЛ от 27.04.2018) от 14.03.2019 г [ул. Седова 22,24]</t>
  </si>
  <si>
    <t>ТСНБ-2001 Смоленской области (редакция 2014 г)</t>
  </si>
  <si>
    <t>Поправки  для НБ 2014 года от 03.03.2016 ЭТАЛОН</t>
  </si>
  <si>
    <t>Новая локальная смета</t>
  </si>
  <si>
    <t>*1,25</t>
  </si>
  <si>
    <t>*1,15</t>
  </si>
  <si>
    <t>Новый раздел</t>
  </si>
  <si>
    <t>1.  ул. Октябрьской революции 4</t>
  </si>
  <si>
    <t>Новый подраздел</t>
  </si>
  <si>
    <t>Расчистка территории</t>
  </si>
  <si>
    <t>1</t>
  </si>
  <si>
    <t>68-12-5</t>
  </si>
  <si>
    <t>Разборка покрытий и оснований цементно-бетонных (демонтаж скамеек, урн)</t>
  </si>
  <si>
    <t>100 м3 конструкций</t>
  </si>
  <si>
    <t>ТЕР Смоленской обл.,68-12-5 Пр. Минстроя России от 13.03.2015 № 171/пр</t>
  </si>
  <si>
    <t>Ремонтно-строительные работы</t>
  </si>
  <si>
    <t>Благоустройство</t>
  </si>
  <si>
    <t>рФЕР-68</t>
  </si>
  <si>
    <t>2</t>
  </si>
  <si>
    <t>27-03-011-2</t>
  </si>
  <si>
    <t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t>
  </si>
  <si>
    <t>100 М2 АСФАЛЬТОБЕТОННОГО ПОКРЫТИЯ</t>
  </si>
  <si>
    <t>ТЕР Смоленской обл.,27-03-011-2 Пр. Минстроя России от 13.03.2015 № 171/пр</t>
  </si>
  <si>
    <t>Общестроительные работы</t>
  </si>
  <si>
    <t>Автомобильные дороги</t>
  </si>
  <si>
    <t>ФЕР-27</t>
  </si>
  <si>
    <t>*0,85</t>
  </si>
  <si>
    <t>3</t>
  </si>
  <si>
    <t>68-14-1</t>
  </si>
  <si>
    <t>Разборка бортовых камней: на бетонном основании</t>
  </si>
  <si>
    <t>100 м</t>
  </si>
  <si>
    <t>ТЕР Смоленской обл.,68-14-1 Пр. Минстроя России от 13.03.2015 № 171/пр</t>
  </si>
  <si>
    <t>4</t>
  </si>
  <si>
    <t>01-01-013-1</t>
  </si>
  <si>
    <t>Разработка грунта с погрузкой на автомобили-самосвалы экскаваторами с ковшом вместимостью: 1 (1-1,2) м3, группа грунтов 1</t>
  </si>
  <si>
    <t>1000 м3 грунта</t>
  </si>
  <si>
    <t>ТЕР Смоленской обл.,01-01-013-1 Пр. Минстроя России от 13.03.2015 № 171/пр</t>
  </si>
  <si>
    <t>Земляные работы, выполняемые  механизированным способом</t>
  </si>
  <si>
    <t>ФЕР-01</t>
  </si>
  <si>
    <t>5</t>
  </si>
  <si>
    <t>пг01-01-01-043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</si>
  <si>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</si>
  <si>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</si>
  <si>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ТЕР Смоленской обл.,пг01-01-01-043 Пр. Минстроя России от 13.03.2015 № 171/пр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</si>
  <si>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</si>
  <si>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</si>
  <si>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</si>
  <si>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6</t>
  </si>
  <si>
    <t>пг03-21-01-005</t>
  </si>
  <si>
    <t>Перевозка грузов автомобилями-самосвалами грузоподъемностью 10 т, работающих вне карьера, на расстояние: до 5 км I класс груза</t>
  </si>
  <si>
    <t>ТЕР Смоленской обл.,пг03-21-01-005 Пр. Минстроя России от 13.03.2015 № 171/пр</t>
  </si>
  <si>
    <t>Перевозка грузов авто/транспортом</t>
  </si>
  <si>
    <t>Перевозка грузов. Автомобильные перевозки  ( 2003 г., ч.1;  ФССЦпр-2011-изм. № 4-6 , раздел 3; )</t>
  </si>
  <si>
    <t>ФССЦ а/п (2003/2011 изм. 4-6)</t>
  </si>
  <si>
    <t>7</t>
  </si>
  <si>
    <t>пг03-21-01-030</t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</si>
  <si>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</si>
  <si>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ТЕР Смоленской обл.,пг03-21-01-030 Пр. Минстроя России от 13.03.2015 № 171/пр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</si>
  <si>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</si>
  <si>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</si>
  <si>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</si>
  <si>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</si>
  <si>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</si>
  <si>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</si>
  <si>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</si>
  <si>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</si>
  <si>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</si>
  <si>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</si>
  <si>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</si>
  <si>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</si>
  <si>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</si>
  <si>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</si>
  <si>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</si>
  <si>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</si>
  <si>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</si>
  <si>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</si>
  <si>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</si>
  <si>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</si>
  <si>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</si>
  <si>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</si>
  <si>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</si>
  <si>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</si>
  <si>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</si>
  <si>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</si>
  <si>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</si>
  <si>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</si>
  <si>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</si>
  <si>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</si>
  <si>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</si>
  <si>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</si>
  <si>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</si>
  <si>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</si>
  <si>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</si>
  <si>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</si>
  <si>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</si>
  <si>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</si>
  <si>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</si>
  <si>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</si>
  <si>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</si>
  <si>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</si>
  <si>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</si>
  <si>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</si>
  <si>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</si>
  <si>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</si>
  <si>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</si>
  <si>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</si>
  <si>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</si>
  <si>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</si>
  <si>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</si>
  <si>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</si>
  <si>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</si>
  <si>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</si>
  <si>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Дворовой проезд</t>
  </si>
  <si>
    <t>Асфальт S=1092,55м2</t>
  </si>
  <si>
    <t>8</t>
  </si>
  <si>
    <t>27-04-001-1</t>
  </si>
  <si>
    <t>Устройство подстилающих и выравнивающих слоев оснований: из песка</t>
  </si>
  <si>
    <t>100 м3 материала основания (в плотном теле)</t>
  </si>
  <si>
    <t>ТЕР Смоленской обл.,27-04-001-1 Пр. Минстроя России от 13.03.2015 № 171/пр</t>
  </si>
  <si>
    <t>8,1</t>
  </si>
  <si>
    <t>408-0122</t>
  </si>
  <si>
    <t>Песок природный для строительных работ средний</t>
  </si>
  <si>
    <t>м3</t>
  </si>
  <si>
    <t>ТССЦ Смоленской обл.,408-0122 Пр. Минстроя России от 13.03.2015 № 171/пр</t>
  </si>
  <si>
    <t>9</t>
  </si>
  <si>
    <t>27-04-001-4</t>
  </si>
  <si>
    <t>Устройство подстилающих и выравнивающих слоев оснований: из асфальтогранулята</t>
  </si>
  <si>
    <t>ТЕР Смоленской обл.,27-04-001-4 Пр. Минстроя России от 13.03.2015 № 171/пр</t>
  </si>
  <si>
    <t>10</t>
  </si>
  <si>
    <t>Устройство подстилающих и выравнивающих слоев оснований: из щебня</t>
  </si>
  <si>
    <t>)*1,25</t>
  </si>
  <si>
    <t>)*1,15</t>
  </si>
  <si>
    <t>10,1</t>
  </si>
  <si>
    <t>408-0057</t>
  </si>
  <si>
    <t>Щебень из природного камня для строительных работ марка 600, фракция 5 (3)-20 мм</t>
  </si>
  <si>
    <t>ТССЦ Смоленской обл.,408-0057 Пр. Минстроя России от 13.03.2015 № 171/пр</t>
  </si>
  <si>
    <t>11</t>
  </si>
  <si>
    <t>27-06-026-1</t>
  </si>
  <si>
    <t>Розлив вяжущих материалов</t>
  </si>
  <si>
    <t>1 Т</t>
  </si>
  <si>
    <t>ТЕР Смоленской обл.,27-06-026-1 Пр. Минстроя России от 13.03.2015 № 171/пр</t>
  </si>
  <si>
    <t>12</t>
  </si>
  <si>
    <t>27-06-020-8</t>
  </si>
  <si>
    <t>Устройство покрытия толщиной 4 см из горячих асфальтобетонных смесей пористых мелкозернистых, плотность каменных материалов: 2,5-2,9 т/м3</t>
  </si>
  <si>
    <t>1000 м2 покрытия</t>
  </si>
  <si>
    <t>ТЕР Смоленской обл.,27-06-020-8 Пр. Минстроя России от 13.03.2015 № 171/пр</t>
  </si>
  <si>
    <t>13</t>
  </si>
  <si>
    <t>27-06-021-8</t>
  </si>
  <si>
    <t>На каждые 0,5 см изменения толщины покрытия добавлять или исключать: к расценке 27-06-020-08</t>
  </si>
  <si>
    <t>ТЕР Смоленской обл.,27-06-021-8 Пр. Минстроя России от 13.03.2015 № 171/пр</t>
  </si>
  <si>
    <t>)*2</t>
  </si>
  <si>
    <t>*1,25)*2</t>
  </si>
  <si>
    <t>*1,15)*2</t>
  </si>
  <si>
    <t>14</t>
  </si>
  <si>
    <t>15</t>
  </si>
  <si>
    <t>27-06-020-1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</si>
  <si>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</si>
  <si>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 Смоленской обл.,27-06-020-1 Пр. Минстроя России от 13.03.2015 № 171/пр</t>
  </si>
  <si>
    <t>15,1</t>
  </si>
  <si>
    <t>410-0005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</si>
  <si>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</si>
  <si>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т</t>
  </si>
  <si>
    <t>ТССЦ Смоленской обл.,410-0005 Пр. Минстроя России от 13.03.2015 № 171/пр</t>
  </si>
  <si>
    <t>15,2</t>
  </si>
  <si>
    <t>410-0007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</si>
  <si>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t>
  </si>
  <si>
    <t>ТССЦ Смоленской обл.,410-0007 Пр. Минстроя России от 13.03.2015 № 171/пр</t>
  </si>
  <si>
    <t>16</t>
  </si>
  <si>
    <t>27-06-021-1</t>
  </si>
  <si>
    <t>На каждые 0,5 см изменения толщины покрытия добавлять или исключать: к расценке 27-06-020-01</t>
  </si>
  <si>
    <t>ТЕР Смоленской обл.,27-06-021-1 Пр. Минстроя России от 13.03.2015 № 171/пр</t>
  </si>
  <si>
    <t>16,1</t>
  </si>
  <si>
    <t>16,2</t>
  </si>
  <si>
    <t>Установка бортовых камней БК 100.30.15 -331,2м</t>
  </si>
  <si>
    <t>17</t>
  </si>
  <si>
    <t>01-02-057-2</t>
  </si>
  <si>
    <t>Разработка грунта вручную в траншеях глубиной до 2 м без креплений с откосами, группа грунтов: 2</t>
  </si>
  <si>
    <t>100 м3 грунта</t>
  </si>
  <si>
    <t>ТЕР Смоленской обл.,01-02-057-2 Пр. Минстроя России от 13.03.2015 № 171/пр</t>
  </si>
  <si>
    <t>Земляные работы, выполняемые  ручным способом</t>
  </si>
  <si>
    <t>18</t>
  </si>
  <si>
    <t>18,1</t>
  </si>
  <si>
    <t>19</t>
  </si>
  <si>
    <t>27-02-010-2</t>
  </si>
  <si>
    <t>Установка бортовых камней бетонных: при других видах покрытий</t>
  </si>
  <si>
    <t>100 м бортового камня</t>
  </si>
  <si>
    <t>ТЕР Смоленской обл.,27-02-010-2 Пр. Минстроя России от 13.03.2015 № 171/пр</t>
  </si>
  <si>
    <t>19,1</t>
  </si>
  <si>
    <t>403-8021</t>
  </si>
  <si>
    <t>Камни бортовые БР 100.30.15 /бетон В30 (М400), объем 0,043 м3/ (ГОСТ 6665-91)</t>
  </si>
  <si>
    <t>шт.</t>
  </si>
  <si>
    <t>ТССЦ Смоленской обл.,403-8021 Пр. Минстроя России от 13.03.2015 № 171/пр</t>
  </si>
  <si>
    <t>20</t>
  </si>
  <si>
    <t>01-02-061-1</t>
  </si>
  <si>
    <t>Засыпка вручную траншей, пазух котлованов и ям, группа грунтов: 1</t>
  </si>
  <si>
    <t>ТЕР Смоленской обл.,01-02-061-1 Пр. Минстроя России от 13.03.2015 № 171/пр</t>
  </si>
  <si>
    <t>21</t>
  </si>
  <si>
    <t>пг01-01-01-039</t>
  </si>
  <si>
    <t>Погрузочные работы при автомобильных перевозках: грунта растительного слоя (земля, перегной)</t>
  </si>
  <si>
    <t>ТЕР Смоленской обл.,пг01-01-01-039 Пр. Минстроя России от 13.03.2015 № 171/пр</t>
  </si>
  <si>
    <t>22</t>
  </si>
  <si>
    <t>Установка урн</t>
  </si>
  <si>
    <t>23</t>
  </si>
  <si>
    <t>01-02-058-2</t>
  </si>
  <si>
    <t>Копание ям вручную без креплений для стоек и столбов: без откосов глубиной до 0,7 м, группа грунтов 2</t>
  </si>
  <si>
    <t>ТЕР Смоленской обл.,01-02-058-2 Пр. Минстроя России от 13.03.2015 № 171/пр</t>
  </si>
  <si>
    <t>24</t>
  </si>
  <si>
    <t>Прайс-лист</t>
  </si>
  <si>
    <t>ШТ</t>
  </si>
  <si>
    <t>Материалы строительные</t>
  </si>
  <si>
    <t>Материалы, изделия и конструкции</t>
  </si>
  <si>
    <t>материалы (03)</t>
  </si>
  <si>
    <t>[7 000 / 1,2 /  8,21] +  2% Трансп</t>
  </si>
  <si>
    <t>25</t>
  </si>
  <si>
    <t>06-01-001-1</t>
  </si>
  <si>
    <t>Устройство бетонной подготовки</t>
  </si>
  <si>
    <t>100 м3 бетона, бутобетона и железобетона в деле</t>
  </si>
  <si>
    <t>ТЕР Смоленской обл.,06-01-001-1 Пр. Минстроя России от 13.03.2015 № 171/пр</t>
  </si>
  <si>
    <t>Монолитные бетонные и железобетонные конструкции в промышленном строительстве</t>
  </si>
  <si>
    <t>ФЕР-06</t>
  </si>
  <si>
    <t>26</t>
  </si>
  <si>
    <t>Установка скамеек</t>
  </si>
  <si>
    <t>27</t>
  </si>
  <si>
    <t>28</t>
  </si>
  <si>
    <t>[10 000 / 1,2 /  8,21] +  2% Трансп</t>
  </si>
  <si>
    <t>29</t>
  </si>
  <si>
    <t>30</t>
  </si>
  <si>
    <t>Площадка для мусорных контейнеров</t>
  </si>
  <si>
    <t>31</t>
  </si>
  <si>
    <t>09-08-002-5</t>
  </si>
  <si>
    <t>Разборка ограждений</t>
  </si>
  <si>
    <t>10 панелей</t>
  </si>
  <si>
    <t>ТЕР Смоленской обл.,09-08-002-5 Пр. Минстроя России от 13.03.2015 № 171/пр</t>
  </si>
  <si>
    <t>*0</t>
  </si>
  <si>
    <t>)*0,7</t>
  </si>
  <si>
    <t>Металлические конструкции</t>
  </si>
  <si>
    <t>ФЕР-09</t>
  </si>
  <si>
    <t>32</t>
  </si>
  <si>
    <t>09-08-001-3</t>
  </si>
  <si>
    <t>Разборка столбов</t>
  </si>
  <si>
    <t>100 столбов</t>
  </si>
  <si>
    <t>ТЕР Смоленской обл.,09-08-001-3 Пр. Минстроя России от 13.03.2015 № 171/пр</t>
  </si>
  <si>
    <t>33</t>
  </si>
  <si>
    <t>68-12-4</t>
  </si>
  <si>
    <t>Разборка покрытий и оснований: асфальтобетонных с помощью молотков отбойных</t>
  </si>
  <si>
    <t>ТЕР Смоленской обл.,68-12-4 Пр. Минстроя России от 13.03.2015 № 171/пр</t>
  </si>
  <si>
    <t>34</t>
  </si>
  <si>
    <t>35</t>
  </si>
  <si>
    <t>36</t>
  </si>
  <si>
    <t>06-01-001-15</t>
  </si>
  <si>
    <t>Устройство фундаментных плит бетонных плоских</t>
  </si>
  <si>
    <t>ТЕР Смоленской обл.,06-01-001-15 Пр. Минстроя России от 13.03.2015 № 171/пр</t>
  </si>
  <si>
    <t>37</t>
  </si>
  <si>
    <t>06-01-015-10</t>
  </si>
  <si>
    <t>Армирование подстилающих слоев и набетонок</t>
  </si>
  <si>
    <t>ТЕР Смоленской обл.,06-01-015-10 Пр. Минстроя России от 13.03.2015 № 171/пр</t>
  </si>
  <si>
    <t>38</t>
  </si>
  <si>
    <t>Установка металлических столбов высотой до 4 м: на подготовленный бетонный фундамент</t>
  </si>
  <si>
    <t>38,1</t>
  </si>
  <si>
    <t>101-1929</t>
  </si>
  <si>
    <t>Болты анкерные</t>
  </si>
  <si>
    <t>ТССЦ Смоленской обл.,101-1929 Пр. Минстроя России от 13.03.2015 № 171/пр</t>
  </si>
  <si>
    <t>38,2</t>
  </si>
  <si>
    <t>103-1485</t>
  </si>
  <si>
    <t>Трубы стальные квадратные (ГОСТ 8639-82) размером 40х40 мм, толщина стенки 3 мм</t>
  </si>
  <si>
    <t>м</t>
  </si>
  <si>
    <t>ТССЦ Смоленской обл.,103-1485 Пр. Минстроя России от 13.03.2015 № 171/пр</t>
  </si>
  <si>
    <t>39</t>
  </si>
  <si>
    <t>Устройство заграждений из готовых металлических решетчатых панелей: высотой до 2 м</t>
  </si>
  <si>
    <t>39,1</t>
  </si>
  <si>
    <t>103-1742</t>
  </si>
  <si>
    <t>Трубы стальные прямоугольные (ГОСТ 8645-86) размером 35х20 мм, толщина стенки 3 мм</t>
  </si>
  <si>
    <t>ТССЦ Смоленской обл.,103-1742 Пр. Минстроя России от 13.03.2015 № 171/пр</t>
  </si>
  <si>
    <t>39,2</t>
  </si>
  <si>
    <t>101-3034</t>
  </si>
  <si>
    <t>Профилированный настил окрашенный С21-1000-0,5</t>
  </si>
  <si>
    <t>ТССЦ Смоленской обл.,101-3034 Пр. Минстроя России от 13.03.2015 № 171/пр</t>
  </si>
  <si>
    <t>39,3</t>
  </si>
  <si>
    <t>101-5867</t>
  </si>
  <si>
    <t>Шурупы самосверлящие (саморезы) SL4-F (SFS) 4,8х16 мм</t>
  </si>
  <si>
    <t>10 шт.</t>
  </si>
  <si>
    <t>ТССЦ Смоленской обл.,101-5867 Пр. Минстроя России от 13.03.2015 № 171/пр</t>
  </si>
  <si>
    <t>40</t>
  </si>
  <si>
    <t>13-03-002-4</t>
  </si>
  <si>
    <t>Огрунтовка металлических поверхностей за один раз: грунтовкой ГФ-021</t>
  </si>
  <si>
    <t>100 м2 окрашиваемой поверхности</t>
  </si>
  <si>
    <t>ТЕР Смоленской обл.,13-03-002-4 Пр. Минстроя России от 13.03.2015 № 171/пр</t>
  </si>
  <si>
    <t>Защита строительных конструкций</t>
  </si>
  <si>
    <t>ФЕР-13</t>
  </si>
  <si>
    <t>41</t>
  </si>
  <si>
    <t>13-03-004-26</t>
  </si>
  <si>
    <t>Окраска металлических огрунтованных поверхностей: эмалью ПФ-115</t>
  </si>
  <si>
    <t>ТЕР Смоленской обл.,13-03-004-26 Пр. Минстроя России от 13.03.2015 № 171/пр</t>
  </si>
  <si>
    <t>Итог1</t>
  </si>
  <si>
    <t>Итого прямые затраты</t>
  </si>
  <si>
    <t>Итог2</t>
  </si>
  <si>
    <t>Итог3</t>
  </si>
  <si>
    <t>Итог6</t>
  </si>
  <si>
    <t>Итого</t>
  </si>
  <si>
    <t>Итого10</t>
  </si>
  <si>
    <t>Индекс на 4 квартал 2019 -7,51</t>
  </si>
  <si>
    <t>В</t>
  </si>
  <si>
    <t>НДС 20%</t>
  </si>
  <si>
    <t>авыф</t>
  </si>
  <si>
    <t>Всего по смете</t>
  </si>
  <si>
    <t>Индекс на 3 квартал 2020г. -8,21</t>
  </si>
  <si>
    <t>Возврат материалов по акту комиссии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</si>
  <si>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</si>
  <si>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</si>
  <si>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</si>
  <si>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</si>
  <si>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</si>
  <si>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</si>
  <si>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</si>
  <si>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</si>
  <si>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</si>
  <si>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</si>
  <si>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</si>
  <si>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</si>
  <si>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</si>
  <si>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</si>
  <si>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</si>
  <si>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ТЕК_М/Т/Я</t>
  </si>
  <si>
    <t>При работе в тек. уровне цен с 27.04.2018 г. (письмо № 01/57049-ЮЛ от 27.04.2018 Минюст РФ), коэффициенты к НР =0,85 и к СП-0,8 не назначаются. До 27.04.2018 г. только для мостов, тоннелей, метро, АЭС, объектов с ядерным топливом (см. прим.)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</si>
  <si>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</si>
  <si>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</si>
  <si>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</si>
  <si>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</si>
  <si>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</si>
  <si>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</si>
  <si>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</si>
  <si>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</si>
  <si>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</si>
  <si>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</si>
  <si>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</si>
  <si>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</si>
  <si>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</si>
  <si>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</si>
  <si>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</si>
  <si>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</si>
  <si>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</si>
  <si>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</si>
  <si>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</si>
  <si>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</si>
  <si>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</si>
  <si>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</si>
  <si>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</si>
  <si>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</si>
  <si>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</si>
  <si>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</si>
  <si>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</si>
  <si>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</si>
  <si>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</si>
  <si>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до 27.04.18 если (ТЕК_М/Т/Я) = {выкл.}</t>
  </si>
  <si>
    <t>К_СП_12</t>
  </si>
  <si>
    <t>Корректировка СП с 03.12.12 до 27.04.18 в текущем уровне цен по письму  2536-ИП/12/ГС от 27.11.12  ( если (ТЕК_М/Т/Я)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</si>
  <si>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</si>
  <si>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</si>
  <si>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</si>
  <si>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</si>
  <si>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</si>
  <si>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</si>
  <si>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</si>
  <si>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(мосты, метро, путепроводы)  и  кап. ремонте АЭС,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</si>
  <si>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</si>
  <si>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</si>
  <si>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</si>
  <si>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</si>
  <si>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</si>
  <si>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</si>
  <si>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1-1024-67</t>
  </si>
  <si>
    <t>Затраты труда рабочих (средний разряд работы 2,4)</t>
  </si>
  <si>
    <t>чел.ч</t>
  </si>
  <si>
    <t>ЧЕЛ.Ч</t>
  </si>
  <si>
    <t>Затраты труда машинистов</t>
  </si>
  <si>
    <t>чел.час</t>
  </si>
  <si>
    <t>060248</t>
  </si>
  <si>
    <t>ТСЭМ Смоленской обл.,060248 Пр. Минстроя России от 13.03.2015 № 171/пр</t>
  </si>
  <si>
    <t>Экскаваторы одноковшовые дизельные на гусеничном ходу при работе на других видах строительства 0,65 м3</t>
  </si>
  <si>
    <t>маш.час</t>
  </si>
  <si>
    <t>070149</t>
  </si>
  <si>
    <t>ТСЭМ Смоленской обл.,070149 Пр. Минстроя России от 13.03.2015 № 171/пр</t>
  </si>
  <si>
    <t>Бульдозеры при работе на других видах строительства 79 кВт (108 л.с.)</t>
  </si>
  <si>
    <t>091400</t>
  </si>
  <si>
    <t>ТСЭМ Смоленской обл.,091400 Пр. Минстроя России от 13.03.2015 № 171/пр</t>
  </si>
  <si>
    <t>Рыхлители прицепные (без трактора)</t>
  </si>
  <si>
    <t>1-1029-67</t>
  </si>
  <si>
    <t>Затраты труда рабочих (средний разряд работы 2,9)</t>
  </si>
  <si>
    <t>121550</t>
  </si>
  <si>
    <t>ТСЭМ Смоленской обл.,121550 Пр. Минстроя России от 13.03.2015 № 171/пр</t>
  </si>
  <si>
    <t>Машины дорожной службы (машина дорожного мастера)</t>
  </si>
  <si>
    <t>121601</t>
  </si>
  <si>
    <t>ТСЭМ Смоленской обл.,121601 Пр. Минстроя России от 13.03.2015 № 171/пр</t>
  </si>
  <si>
    <t>Машины поливомоечные 6000 л</t>
  </si>
  <si>
    <t>122204</t>
  </si>
  <si>
    <t>ТСЭМ Смоленской обл.,122204 Пр. Минстроя России от 13.03.2015 № 171/пр</t>
  </si>
  <si>
    <t>Фрезы самоходные дорожные типа "Wirtgen", "Dynapac", "Caterpillar", "Roadtec", "Terex", "Bitelli", "ABG", "Bomag" с шириной барабана от 1000 мм до 1300 мм</t>
  </si>
  <si>
    <t>400053</t>
  </si>
  <si>
    <t>ТСЭМ Смоленской обл.,400053 Пр. Минстроя России от 13.03.2015 № 171/пр</t>
  </si>
  <si>
    <t>Автомобиль-самосвал, грузоподъемность до 15 т</t>
  </si>
  <si>
    <t>411-0001</t>
  </si>
  <si>
    <t>ТССЦ Смоленской обл.,411-0001 Пр. Минстроя России от 13.03.2015 № 171/пр</t>
  </si>
  <si>
    <t>Вода</t>
  </si>
  <si>
    <t>1-1031-67</t>
  </si>
  <si>
    <t>Затраты труда рабочих (средний разряд работы 3,1)</t>
  </si>
  <si>
    <t>050101</t>
  </si>
  <si>
    <t>ТСЭМ Смоленской обл.,050101 Пр. Минстроя России от 13.03.2015 № 171/пр</t>
  </si>
  <si>
    <t>Компрессоры передвижные с двигателем внутреннего сгорания давлением до 686 кПа (7 ат), производительность до 5 м3/мин</t>
  </si>
  <si>
    <t>330804</t>
  </si>
  <si>
    <t>ТСЭМ Смоленской обл.,330804 Пр. Минстроя России от 13.03.2015 № 171/пр</t>
  </si>
  <si>
    <t>Молотки при работе от передвижных компрессорных станций отбойные пневматические</t>
  </si>
  <si>
    <t>1-1020-67</t>
  </si>
  <si>
    <t>Затраты труда рабочих (средний разряд работы 2,0)</t>
  </si>
  <si>
    <t>060249</t>
  </si>
  <si>
    <t>ТСЭМ Смоленской обл.,060249 Пр. Минстроя России от 13.03.2015 № 171/пр</t>
  </si>
  <si>
    <t>Экскаваторы одноковшовые дизельные на гусеничном ходу при работе на других видах строительства 1 м3</t>
  </si>
  <si>
    <t>408-0015</t>
  </si>
  <si>
    <t>ТССЦ Смоленской обл.,408-0015 Пр. Минстроя России от 13.03.2015 № 171/пр</t>
  </si>
  <si>
    <t>Щебень из природного камня для строительных работ марка 800, фракция 20-40 мм</t>
  </si>
  <si>
    <t>1-1023-67</t>
  </si>
  <si>
    <t>Затраты труда рабочих (средний разряд работы 2,3)</t>
  </si>
  <si>
    <t>030101</t>
  </si>
  <si>
    <t>ТСЭМ Смоленской обл.,030101 Пр. Минстроя России от 13.03.2015 № 171/пр</t>
  </si>
  <si>
    <t>Автопогрузчики 5 т</t>
  </si>
  <si>
    <t>120202</t>
  </si>
  <si>
    <t>ТСЭМ Смоленской обл.,120202 Пр. Минстроя России от 13.03.2015 № 171/пр</t>
  </si>
  <si>
    <t>Автогрейдеры среднего типа 99 кВт (135 л.с.)</t>
  </si>
  <si>
    <t>120911</t>
  </si>
  <si>
    <t>ТСЭМ Смоленской обл.,120911 Пр. Минстроя России от 13.03.2015 № 171/пр</t>
  </si>
  <si>
    <t>Катки на пневмоколесном ходу 30 т</t>
  </si>
  <si>
    <t>120101</t>
  </si>
  <si>
    <t>ТСЭМ Смоленской обл.,120101 Пр. Минстроя России от 13.03.2015 № 171/пр</t>
  </si>
  <si>
    <t>Автогудронаторы 3500 л</t>
  </si>
  <si>
    <t>101-1561</t>
  </si>
  <si>
    <t>ТССЦ Смоленской обл.,101-1561 Пр. Минстроя России от 13.03.2015 № 171/пр</t>
  </si>
  <si>
    <t>Битумы нефтяные дорожные жидкие, класс МГ, СГ</t>
  </si>
  <si>
    <t>1-1040-67</t>
  </si>
  <si>
    <t>Затраты труда рабочих (средний разряд работы 4,0)</t>
  </si>
  <si>
    <t>021141</t>
  </si>
  <si>
    <t>ТСЭМ Смоленской обл.,021141 Пр. Минстроя России от 13.03.2015 № 171/пр</t>
  </si>
  <si>
    <t>Краны на автомобильном ходу при работе на других видах строительства 10 т</t>
  </si>
  <si>
    <t>120500</t>
  </si>
  <si>
    <t>ТСЭМ Смоленской обл.,120500 Пр. Минстроя России от 13.03.2015 № 171/пр</t>
  </si>
  <si>
    <t>Гудронаторы ручные</t>
  </si>
  <si>
    <t>120906</t>
  </si>
  <si>
    <t>ТСЭМ Смоленской обл.,120906 Пр. Минстроя России от 13.03.2015 № 171/пр</t>
  </si>
  <si>
    <t>Катки дорожные самоходные гладкие 8 т</t>
  </si>
  <si>
    <t>120907</t>
  </si>
  <si>
    <t>ТСЭМ Смоленской обл.,120907 Пр. Минстроя России от 13.03.2015 № 171/пр</t>
  </si>
  <si>
    <t>Катки дорожные самоходные гладкие 13 т</t>
  </si>
  <si>
    <t>122000</t>
  </si>
  <si>
    <t>ТСЭМ Смоленской обл.,122000 Пр. Минстроя России от 13.03.2015 № 171/пр</t>
  </si>
  <si>
    <t>Укладчики асфальтобетона</t>
  </si>
  <si>
    <t>400001</t>
  </si>
  <si>
    <t>ТСЭМ Смоленской обл.,400001 Пр. Минстроя России от 13.03.2015 № 171/пр</t>
  </si>
  <si>
    <t>Автомобили бортовые, грузоподъемность до 5 т</t>
  </si>
  <si>
    <t>101-0322</t>
  </si>
  <si>
    <t>ТССЦ Смоленской обл.,101-0322 Пр. Минстроя России от 13.03.2015 № 171/пр</t>
  </si>
  <si>
    <t>Керосин для технических целей марок КТ-1, КТ-2</t>
  </si>
  <si>
    <t>101-0782</t>
  </si>
  <si>
    <t>ТССЦ Смоленской обл.,101-0782 Пр. Минстроя России от 13.03.2015 № 171/пр</t>
  </si>
  <si>
    <t>Поковки из квадратных заготовок, масса 1,8 кг</t>
  </si>
  <si>
    <t>101-1556</t>
  </si>
  <si>
    <t>ТССЦ Смоленской обл.,101-1556 Пр. Минстроя России от 13.03.2015 № 171/пр</t>
  </si>
  <si>
    <t>Битумы нефтяные дорожные марки БНД-60/90, БНД 90/130</t>
  </si>
  <si>
    <t>102-0025</t>
  </si>
  <si>
    <t>ТССЦ Смоленской обл.,102-0025 Пр. Минстроя России от 13.03.2015 № 171/пр</t>
  </si>
  <si>
    <t>Бруски обрезные хвойных пород длиной 4-6,5 м, шириной 75-150 мм, толщиной 40-75 мм, III сорта</t>
  </si>
  <si>
    <t>410-0022</t>
  </si>
  <si>
    <t>ТССЦ Смоленской обл.,410-0022 Пр. Минстроя России от 13.03.2015 № 171/пр</t>
  </si>
  <si>
    <t>Асфальтобетонные смеси дорожные, аэродромные и асфальтобетон (горячие и теплые для пористого асфальтобетона щебеночные и гравийные), марка II</t>
  </si>
  <si>
    <t>101-1805</t>
  </si>
  <si>
    <t>ТССЦ Смоленской обл.,101-1805 Пр. Минстроя России от 13.03.2015 № 171/пр</t>
  </si>
  <si>
    <t>Гвозди строительные</t>
  </si>
  <si>
    <t>102-0038</t>
  </si>
  <si>
    <t>ТССЦ Смоленской обл.,102-0038 Пр. Минстроя России от 13.03.2015 № 171/пр</t>
  </si>
  <si>
    <t>Брусья необрезные хвойных пород длиной 4-6,5 м, все ширины, толщиной 100, 125 мм, IV сорта</t>
  </si>
  <si>
    <t>401-0006</t>
  </si>
  <si>
    <t>ТССЦ Смоленской обл.,401-0006 Пр. Минстроя России от 13.03.2015 № 171/пр</t>
  </si>
  <si>
    <t>Бетон тяжелый, класс В15 (М200)</t>
  </si>
  <si>
    <t>402-0004</t>
  </si>
  <si>
    <t>ТССЦ Смоленской обл.,402-0004 Пр. Минстроя России от 13.03.2015 № 171/пр</t>
  </si>
  <si>
    <t>Раствор готовый кладочный цементный марки 100</t>
  </si>
  <si>
    <t>1-1015-67</t>
  </si>
  <si>
    <t>Затраты труда рабочих (средний разряд работы 1,5)</t>
  </si>
  <si>
    <t>020129</t>
  </si>
  <si>
    <t>ТСЭМ Смоленской обл.,020129 Пр. Минстроя России от 13.03.2015 № 171/пр</t>
  </si>
  <si>
    <t>Краны башенные при работе на других видах строительства 8 т</t>
  </si>
  <si>
    <t>111301</t>
  </si>
  <si>
    <t>ТСЭМ Смоленской обл.,111301 Пр. Минстроя России от 13.03.2015 № 171/пр</t>
  </si>
  <si>
    <t>Вибратор поверхностный</t>
  </si>
  <si>
    <t>101-1668</t>
  </si>
  <si>
    <t>ТССЦ Смоленской обл.,101-1668 Пр. Минстроя России от 13.03.2015 № 171/пр</t>
  </si>
  <si>
    <t>Рогожа</t>
  </si>
  <si>
    <t>м2</t>
  </si>
  <si>
    <t>401-0061</t>
  </si>
  <si>
    <t>ТССЦ Смоленской обл.,401-0061 Пр. Минстроя России от 13.03.2015 № 171/пр</t>
  </si>
  <si>
    <t>Бетон тяжелый, крупность заполнителя 20 мм, класс В3,5 (М50)</t>
  </si>
  <si>
    <t>1-1030-67</t>
  </si>
  <si>
    <t>Затраты труда рабочих (средний разряд работы 3.0)</t>
  </si>
  <si>
    <t>040101</t>
  </si>
  <si>
    <t>ТСЭМ Смоленской обл.,040101 Пр. Минстроя России от 13.03.2015 № 171/пр</t>
  </si>
  <si>
    <t>Электростанции передвижные 2 кВт</t>
  </si>
  <si>
    <t>350155</t>
  </si>
  <si>
    <t>ТСЭМ Смоленской обл.,350155 Пр. Минстроя России от 13.03.2015 № 171/пр</t>
  </si>
  <si>
    <t>Гайковерт электрический</t>
  </si>
  <si>
    <t>331454</t>
  </si>
  <si>
    <t>ТСЭМ Смоленской обл.,331454 Пр. Минстроя России от 13.03.2015 № 171/пр</t>
  </si>
  <si>
    <t>Перфоратор электрический мощностью 1,5 кВт, энергией удара до 18 Дж</t>
  </si>
  <si>
    <t>1-1027-67</t>
  </si>
  <si>
    <t>Затраты труда рабочих (средний разряд работы 2,7)</t>
  </si>
  <si>
    <t>111100</t>
  </si>
  <si>
    <t>ТСЭМ Смоленской обл.,111100 Пр. Минстроя России от 13.03.2015 № 171/пр</t>
  </si>
  <si>
    <t>Вибратор глубинный</t>
  </si>
  <si>
    <t>331532</t>
  </si>
  <si>
    <t>ТСЭМ Смоленской обл.,331532 Пр. Минстроя России от 13.03.2015 № 171/пр</t>
  </si>
  <si>
    <t>Пила цепная электрическая</t>
  </si>
  <si>
    <t>102-0061</t>
  </si>
  <si>
    <t>ТССЦ Смоленской обл.,102-0061 Пр. Минстроя России от 13.03.2015 № 171/пр</t>
  </si>
  <si>
    <t>Доски обрезные хвойных пород длиной 4-6,5 м, шириной 75-150 мм, толщиной 44 мм и более, III сорта</t>
  </si>
  <si>
    <t>203-0512</t>
  </si>
  <si>
    <t>ТССЦ Смоленской обл.,203-0512 Пр. Минстроя России от 13.03.2015 № 171/пр</t>
  </si>
  <si>
    <t>Щиты из досок толщиной 40 мм</t>
  </si>
  <si>
    <t>401-0023</t>
  </si>
  <si>
    <t>ТССЦ Смоленской обл.,401-0023 Пр. Минстроя России от 13.03.2015 № 171/пр</t>
  </si>
  <si>
    <t>Бетон тяжелый, крупность заполнителя более 40 мм, класс В7,5 (М 100)</t>
  </si>
  <si>
    <t>405-0253</t>
  </si>
  <si>
    <t>ТССЦ Смоленской обл.,405-0253 Пр. Минстроя России от 13.03.2015 № 171/пр</t>
  </si>
  <si>
    <t>Известь строительная негашеная комовая, сорт I</t>
  </si>
  <si>
    <t>1-1033-67</t>
  </si>
  <si>
    <t>Затраты труда рабочих (средний разряд работы 3,3)</t>
  </si>
  <si>
    <t>101-0816</t>
  </si>
  <si>
    <t>ТССЦ Смоленской обл.,101-0816 Пр. Минстроя России от 13.03.2015 № 171/пр</t>
  </si>
  <si>
    <t>Проволока светлая диаметром 1,1 мм</t>
  </si>
  <si>
    <t>204-0100</t>
  </si>
  <si>
    <t>ТССЦ Смоленской обл.,204-0100 Пр. Минстроя России от 13.03.2015 № 171/пр</t>
  </si>
  <si>
    <t>Горячекатаная арматурная сталь класса А-I, А-II, А-III</t>
  </si>
  <si>
    <t>1-1047-67</t>
  </si>
  <si>
    <t>Затраты труда рабочих (средний разряд работы 4,7)</t>
  </si>
  <si>
    <t>030401</t>
  </si>
  <si>
    <t>ТСЭМ Смоленской обл.,030401 Пр. Минстроя России от 13.03.2015 № 171/пр</t>
  </si>
  <si>
    <t>Лебедки электрические тяговым усилием до 5,79 кН (0,59 т)</t>
  </si>
  <si>
    <t>340101</t>
  </si>
  <si>
    <t>ТСЭМ Смоленской обл.,340101 Пр. Минстроя России от 13.03.2015 № 171/пр</t>
  </si>
  <si>
    <t>Агрегаты окрасочные высокого давления для окраски поверхностей конструкций мощностью 1 кВт</t>
  </si>
  <si>
    <t>113-0021</t>
  </si>
  <si>
    <t>ТССЦ Смоленской обл.,113-0021 Пр. Минстроя России от 13.03.2015 № 171/пр</t>
  </si>
  <si>
    <t>Грунтовка ГФ-021 красно-коричневая</t>
  </si>
  <si>
    <t>113-0077</t>
  </si>
  <si>
    <t>ТССЦ Смоленской обл.,113-0077 Пр. Минстроя России от 13.03.2015 № 171/пр</t>
  </si>
  <si>
    <t>Ксилол нефтяной марки А</t>
  </si>
  <si>
    <t>1-1035-67</t>
  </si>
  <si>
    <t>Затраты труда рабочих (средний разряд работы 3,5)</t>
  </si>
  <si>
    <t>101-1292</t>
  </si>
  <si>
    <t>ТССЦ Смоленской обл.,101-1292 Пр. Минстроя России от 13.03.2015 № 171/пр</t>
  </si>
  <si>
    <t>Уайт-спирит</t>
  </si>
  <si>
    <t>113-0246</t>
  </si>
  <si>
    <t>ТССЦ Смоленской обл.,113-0246 Пр. Минстроя России от 13.03.2015 № 171/пр</t>
  </si>
  <si>
    <t>Эмаль ПФ-115 серая</t>
  </si>
  <si>
    <t>408-9040</t>
  </si>
  <si>
    <t>ТССЦ Смоленской обл.,408-9040 Пр. Минстроя России от 13.03.2015 № 171/пр</t>
  </si>
  <si>
    <t>Песок для строительных работ природный</t>
  </si>
  <si>
    <t>408-9080</t>
  </si>
  <si>
    <t>ТССЦ Смоленской обл.,408-9080 Пр. Минстроя России от 13.03.2015 № 171/пр</t>
  </si>
  <si>
    <t>Щебень</t>
  </si>
  <si>
    <t>413-9010</t>
  </si>
  <si>
    <t>ТССЦ Смоленской обл.,413-9010 Пр. Минстроя России от 13.03.2015 № 171/пр</t>
  </si>
  <si>
    <t>Камни бортовые</t>
  </si>
  <si>
    <t>101-9283</t>
  </si>
  <si>
    <t>ТССЦ Смоленской обл.,101-9283 Пр. Минстроя России от 13.03.2015 № 171/пр</t>
  </si>
  <si>
    <t>Детали крепления барьерных ограждений</t>
  </si>
  <si>
    <t>компл.</t>
  </si>
  <si>
    <t>201-9104</t>
  </si>
  <si>
    <t>ТССЦ Смоленской обл.,201-9104 Пр. Минстроя России от 13.03.2015 № 171/пр</t>
  </si>
  <si>
    <t>Панель металлическая решетчатая для барьерных ограждений</t>
  </si>
  <si>
    <t>101-9662</t>
  </si>
  <si>
    <t>ТССЦ Смоленской обл.,101-9662 Пр. Минстроя России от 13.03.2015 № 171/пр</t>
  </si>
  <si>
    <t>201-9212</t>
  </si>
  <si>
    <t>ТССЦ Смоленской обл.,201-9212 Пр. Минстроя России от 13.03.2015 № 171/пр</t>
  </si>
  <si>
    <t>Стойки металлические опорные</t>
  </si>
  <si>
    <t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t>
  </si>
  <si>
    <t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t>
  </si>
  <si>
    <t xml:space="preserve">Наименование объекта:  </t>
  </si>
  <si>
    <t>Сметная стоимость</t>
  </si>
  <si>
    <t>тыс.руб</t>
  </si>
  <si>
    <t>Нормативная трудоемкость</t>
  </si>
  <si>
    <t>чел.-ч</t>
  </si>
  <si>
    <t>Сметная заработная плата</t>
  </si>
  <si>
    <t>№ п/п</t>
  </si>
  <si>
    <t>Шифр и № позиции норматива</t>
  </si>
  <si>
    <t>Наименование работ и затрат, единица измерения</t>
  </si>
  <si>
    <t>Кол-во</t>
  </si>
  <si>
    <t>Стоимость ед, руб.</t>
  </si>
  <si>
    <t>Общая стоимость, руб.</t>
  </si>
  <si>
    <t>Затраты труда рабочих, чел.-ч., не занятых обсл. Машин</t>
  </si>
  <si>
    <t>Экспл. Машин</t>
  </si>
  <si>
    <t>зар.платы</t>
  </si>
  <si>
    <t>Основной зар.платы</t>
  </si>
  <si>
    <t>в т.ч. Зарплаты</t>
  </si>
  <si>
    <t>обслуж. машины</t>
  </si>
  <si>
    <t>на един.</t>
  </si>
  <si>
    <t>всего</t>
  </si>
  <si>
    <t>Составлена в ценах Уровень цен</t>
  </si>
  <si>
    <t xml:space="preserve">% НР </t>
  </si>
  <si>
    <t xml:space="preserve">% СП </t>
  </si>
  <si>
    <t xml:space="preserve">Итого с НР и СП </t>
  </si>
  <si>
    <t xml:space="preserve">Эксплуатация машин </t>
  </si>
  <si>
    <t xml:space="preserve">Оплата труда машинистов </t>
  </si>
  <si>
    <t xml:space="preserve">Оплата труда рабочих </t>
  </si>
  <si>
    <t xml:space="preserve">Затраты труда рабочих </t>
  </si>
  <si>
    <t xml:space="preserve">Затраты труда машинистов </t>
  </si>
  <si>
    <t xml:space="preserve">Стоимость материалов </t>
  </si>
  <si>
    <t>Исключен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</si>
  <si>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r>
      <t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t>
    </r>
    <r>
      <rPr>
        <i/>
        <sz val="10"/>
        <rFont val="Arial"/>
        <family val="2"/>
        <charset val="204"/>
      </rPr>
      <t xml:space="preserve">
Базисная стоимость: 724,73 = [7 000 / 1,2 /  8,21] +  2% Трансп</t>
    </r>
  </si>
  <si>
    <r>
      <t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t>
    </r>
    <r>
      <rPr>
        <i/>
        <sz val="10"/>
        <rFont val="Arial"/>
        <family val="2"/>
        <charset val="204"/>
      </rPr>
      <t xml:space="preserve">
Базисная стоимость: 1 035,32 = [10 000 / 1,2 /  8,21] +  2% Трансп</t>
    </r>
  </si>
  <si>
    <t xml:space="preserve">Составил    </t>
  </si>
  <si>
    <t>[должность,подпись(инициалы,фамилия)]</t>
  </si>
  <si>
    <t xml:space="preserve">Проверил    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</si>
  <si>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</si>
  <si>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</si>
  <si>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</si>
  <si>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Наименование работ и затрат</t>
  </si>
  <si>
    <t>Единица измерения</t>
  </si>
  <si>
    <t>Количество</t>
  </si>
  <si>
    <t>Примечание</t>
  </si>
  <si>
    <t>Заказчик _________________</t>
  </si>
  <si>
    <t>СОГЛАСОВАНО:</t>
  </si>
  <si>
    <t>УТВЕРЖДАЮ:</t>
  </si>
  <si>
    <t>Начальник Управления ЖКХ</t>
  </si>
  <si>
    <t>Администрации города Смоленска</t>
  </si>
  <si>
    <t>_______________</t>
  </si>
  <si>
    <t>________________ А.А. Глебов</t>
  </si>
  <si>
    <t>" _____ " ________________ 2020 г.</t>
  </si>
  <si>
    <t>"______ " _______________2020 г.</t>
  </si>
  <si>
    <t>Выполнение работ по благоустройству дворовых территорий в городе Смоленске в рамках реализации муниципальной программы "Формирование современной городской среды в городе Смоленске"</t>
  </si>
  <si>
    <t>(наименование стройки)</t>
  </si>
  <si>
    <t>Благоустройство дворовой территории в районе домов №2 по ул. Пригородная, №28, 28а, 26 по ул. Кирова, в г. Смоленске</t>
  </si>
  <si>
    <t>Основание: дефектная ведомость</t>
  </si>
  <si>
    <t>рублей</t>
  </si>
  <si>
    <t>Дефектная ведомость</t>
  </si>
  <si>
    <t>Устройство покрытия толщиной 5 см из горячих асфальтобетонных смесей пористых мелкозернистых, плотность каменных материалов: 2,5-2,9 т/м3</t>
  </si>
  <si>
    <t>Устройство покрытия толщиной 5 см из горячих асфальтобетонных смесей плотных мелкозернистых типа АБВ, плотность каменных материалов: 2,5-2,9 т/м3</t>
  </si>
  <si>
    <t>ЛОКАЛЬНЫЙ СМЕТНЫЙ РАСЧЕТ № 1</t>
  </si>
  <si>
    <t>Благоустройство дворовой территории в районе дома №4 по ул. Октябрьской революции в г. Смоленскев рамках реализации муниципальной программы "Формирование современной городской среды в городе Смоленске"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</si>
</sst>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\ #,##0.00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5" fillId="0" borderId="0" xfId="0" applyFont="1" applyAlignment="1">
      <alignment horizontal="left" vertical="top"/>
    </xf>
    <xf numFmtId="0" fontId="1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0" fillId="0" borderId="4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 applyAlignment="1">
      <alignment horizontal="right" wrapText="1"/>
    </xf>
    <xf numFmtId="0" fontId="10" fillId="0" borderId="4" xfId="0" applyFont="1" applyBorder="1" applyAlignment="1">
      <alignment horizontal="right"/>
    </xf>
    <xf numFmtId="0" fontId="15" fillId="0" borderId="0" xfId="0" applyFont="1"/>
    <xf numFmtId="0" fontId="12" fillId="0" borderId="0" xfId="0" applyFont="1" applyAlignment="1">
      <alignment horizontal="left" wrapText="1"/>
    </xf>
    <xf numFmtId="0" fontId="18" fillId="0" borderId="0" xfId="1" applyFont="1" applyAlignment="1">
      <alignment horizontal="left" vertical="top"/>
    </xf>
    <xf numFmtId="0" fontId="17" fillId="0" borderId="0" xfId="1"/>
    <xf numFmtId="0" fontId="8" fillId="0" borderId="0" xfId="1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top" wrapText="1"/>
    </xf>
    <xf numFmtId="49" fontId="19" fillId="0" borderId="0" xfId="1" applyNumberFormat="1" applyFont="1" applyBorder="1" applyAlignment="1">
      <alignment horizontal="right" vertical="top"/>
    </xf>
    <xf numFmtId="0" fontId="19" fillId="0" borderId="0" xfId="1" applyFont="1" applyBorder="1" applyAlignment="1">
      <alignment horizontal="right" vertical="top"/>
    </xf>
    <xf numFmtId="0" fontId="16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right" vertical="top"/>
    </xf>
    <xf numFmtId="0" fontId="20" fillId="0" borderId="0" xfId="1" applyFont="1" applyBorder="1" applyAlignment="1">
      <alignment horizontal="center" vertical="top"/>
    </xf>
    <xf numFmtId="49" fontId="19" fillId="0" borderId="0" xfId="1" applyNumberFormat="1" applyFont="1"/>
    <xf numFmtId="0" fontId="19" fillId="0" borderId="0" xfId="1" applyFont="1" applyAlignment="1">
      <alignment horizontal="right" vertical="top"/>
    </xf>
    <xf numFmtId="0" fontId="21" fillId="0" borderId="0" xfId="1" applyFont="1" applyAlignment="1">
      <alignment horizontal="center" vertical="top"/>
    </xf>
    <xf numFmtId="0" fontId="18" fillId="0" borderId="0" xfId="0" applyFont="1"/>
    <xf numFmtId="0" fontId="0" fillId="0" borderId="5" xfId="0" applyBorder="1"/>
    <xf numFmtId="0" fontId="10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/>
    <xf numFmtId="164" fontId="10" fillId="0" borderId="5" xfId="0" applyNumberFormat="1" applyFont="1" applyBorder="1"/>
    <xf numFmtId="0" fontId="14" fillId="0" borderId="5" xfId="0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0" fontId="8" fillId="0" borderId="5" xfId="0" applyFont="1" applyBorder="1"/>
    <xf numFmtId="0" fontId="8" fillId="0" borderId="5" xfId="0" applyFont="1" applyBorder="1" applyAlignment="1">
      <alignment horizontal="right" wrapText="1"/>
    </xf>
    <xf numFmtId="164" fontId="8" fillId="0" borderId="5" xfId="0" applyNumberFormat="1" applyFont="1" applyBorder="1" applyAlignment="1">
      <alignment horizontal="right" wrapText="1"/>
    </xf>
    <xf numFmtId="0" fontId="15" fillId="0" borderId="5" xfId="0" applyFont="1" applyBorder="1" applyAlignment="1">
      <alignment horizontal="right"/>
    </xf>
    <xf numFmtId="164" fontId="15" fillId="0" borderId="5" xfId="0" applyNumberFormat="1" applyFont="1" applyBorder="1" applyAlignment="1">
      <alignment horizontal="right"/>
    </xf>
    <xf numFmtId="0" fontId="18" fillId="0" borderId="5" xfId="0" applyFont="1" applyBorder="1"/>
    <xf numFmtId="0" fontId="10" fillId="0" borderId="0" xfId="0" applyFont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8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0" fontId="11" fillId="0" borderId="0" xfId="1" applyFont="1" applyAlignment="1">
      <alignment horizontal="center" vertical="top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15" fillId="0" borderId="5" xfId="0" applyFont="1" applyBorder="1" applyAlignment="1">
      <alignment horizontal="left" wrapText="1"/>
    </xf>
    <xf numFmtId="164" fontId="15" fillId="0" borderId="5" xfId="0" applyNumberFormat="1" applyFont="1" applyBorder="1" applyAlignment="1">
      <alignment horizontal="right"/>
    </xf>
    <xf numFmtId="0" fontId="10" fillId="0" borderId="5" xfId="0" applyFont="1" applyBorder="1" applyAlignment="1">
      <alignment horizontal="left" wrapText="1"/>
    </xf>
    <xf numFmtId="164" fontId="10" fillId="0" borderId="5" xfId="0" applyNumberFormat="1" applyFont="1" applyBorder="1" applyAlignment="1">
      <alignment horizontal="right"/>
    </xf>
    <xf numFmtId="0" fontId="8" fillId="0" borderId="5" xfId="0" quotePrefix="1" applyFont="1" applyBorder="1" applyAlignment="1">
      <alignment wrapText="1"/>
    </xf>
    <xf numFmtId="0" fontId="13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68"/>
  <sheetViews>
    <sheetView tabSelected="1" topLeftCell="A4" zoomScaleNormal="100" workbookViewId="0">
      <selection activeCell="C10" sqref="C10:K10"/>
    </sheetView>
  </sheetViews>
  <sheetFormatPr defaultRowHeight="12.75" x14ac:dyDescent="0.2"/>
  <cols>
    <col min="1" max="1" width="6.7109375" customWidth="1"/>
    <col min="2" max="2" width="15.7109375" customWidth="1"/>
    <col min="3" max="3" width="40.7109375" customWidth="1"/>
    <col min="4" max="11" width="12.7109375" customWidth="1"/>
    <col min="20" max="32" width="0" hidden="1" customWidth="1"/>
    <col min="33" max="33" width="76.7109375" hidden="1" customWidth="1"/>
    <col min="34" max="37" width="0" hidden="1" customWidth="1"/>
  </cols>
  <sheetData>
    <row r="1" spans="1:30" x14ac:dyDescent="0.2">
      <c r="A1" s="32" t="s">
        <v>634</v>
      </c>
      <c r="B1" s="33"/>
      <c r="C1" s="33"/>
      <c r="D1" s="33"/>
      <c r="E1" s="33"/>
      <c r="F1" s="33"/>
      <c r="G1" s="33"/>
      <c r="H1" s="32" t="s">
        <v>635</v>
      </c>
      <c r="I1" s="33"/>
      <c r="J1" s="34"/>
      <c r="K1" s="8"/>
      <c r="L1" s="8"/>
      <c r="M1" s="34"/>
      <c r="N1" s="34"/>
      <c r="O1" s="34"/>
    </row>
    <row r="2" spans="1:30" x14ac:dyDescent="0.2">
      <c r="A2" s="35"/>
      <c r="B2" s="33"/>
      <c r="C2" s="33"/>
      <c r="D2" s="33"/>
      <c r="E2" s="33"/>
      <c r="F2" s="33"/>
      <c r="G2" s="33"/>
      <c r="H2" s="36" t="s">
        <v>636</v>
      </c>
      <c r="I2" s="33"/>
      <c r="J2" s="34"/>
      <c r="M2" s="34"/>
      <c r="N2" s="34"/>
      <c r="O2" s="34"/>
    </row>
    <row r="3" spans="1:30" x14ac:dyDescent="0.2">
      <c r="A3" s="35"/>
      <c r="B3" s="33"/>
      <c r="C3" s="33"/>
      <c r="D3" s="33"/>
      <c r="E3" s="33"/>
      <c r="F3" s="33"/>
      <c r="G3" s="33"/>
      <c r="H3" s="36" t="s">
        <v>637</v>
      </c>
      <c r="I3" s="33"/>
      <c r="J3" s="34"/>
      <c r="M3" s="34"/>
      <c r="N3" s="34"/>
      <c r="O3" s="34"/>
    </row>
    <row r="4" spans="1:30" ht="15.75" customHeight="1" x14ac:dyDescent="0.2">
      <c r="A4" s="35" t="s">
        <v>638</v>
      </c>
      <c r="B4" s="33"/>
      <c r="C4" s="33"/>
      <c r="D4" s="33"/>
      <c r="E4" s="33"/>
      <c r="F4" s="33"/>
      <c r="G4" s="33"/>
      <c r="H4" s="36" t="s">
        <v>639</v>
      </c>
      <c r="I4" s="33"/>
      <c r="J4" s="34"/>
      <c r="M4" s="34"/>
      <c r="N4" s="34"/>
      <c r="O4" s="34"/>
    </row>
    <row r="5" spans="1:30" x14ac:dyDescent="0.2">
      <c r="A5" s="37" t="s">
        <v>640</v>
      </c>
      <c r="B5" s="33"/>
      <c r="C5" s="33"/>
      <c r="D5" s="33"/>
      <c r="E5" s="33"/>
      <c r="F5" s="33"/>
      <c r="G5" s="33"/>
      <c r="H5" s="38" t="s">
        <v>641</v>
      </c>
      <c r="I5" s="33"/>
      <c r="J5" s="34"/>
      <c r="M5" s="34"/>
      <c r="N5" s="34"/>
      <c r="O5" s="34"/>
    </row>
    <row r="6" spans="1:30" ht="37.5" customHeight="1" x14ac:dyDescent="0.2">
      <c r="A6" s="64" t="s">
        <v>642</v>
      </c>
      <c r="B6" s="65"/>
      <c r="C6" s="65"/>
      <c r="D6" s="65"/>
      <c r="E6" s="65"/>
      <c r="F6" s="65"/>
      <c r="G6" s="65"/>
      <c r="H6" s="65"/>
      <c r="I6" s="65"/>
      <c r="J6" s="65"/>
      <c r="K6" s="33"/>
      <c r="L6" s="34"/>
      <c r="M6" s="34"/>
      <c r="N6" s="34"/>
      <c r="O6" s="34"/>
    </row>
    <row r="7" spans="1:30" ht="18" customHeight="1" x14ac:dyDescent="0.2">
      <c r="A7" s="39"/>
      <c r="B7" s="40"/>
      <c r="C7" s="41"/>
      <c r="D7" s="42" t="s">
        <v>643</v>
      </c>
      <c r="E7" s="43"/>
      <c r="F7" s="44"/>
      <c r="G7" s="44"/>
      <c r="H7" s="41"/>
      <c r="I7" s="41"/>
      <c r="J7" s="41"/>
      <c r="K7" s="33"/>
      <c r="L7" s="34"/>
      <c r="M7" s="34"/>
      <c r="N7" s="34"/>
      <c r="O7" s="34"/>
    </row>
    <row r="8" spans="1:30" x14ac:dyDescent="0.2">
      <c r="A8" s="39"/>
      <c r="B8" s="45"/>
      <c r="C8" s="46"/>
      <c r="D8" s="46"/>
      <c r="E8" s="46"/>
      <c r="F8" s="33"/>
      <c r="G8" s="33"/>
      <c r="H8" s="33"/>
      <c r="I8" s="33"/>
      <c r="J8" s="33"/>
      <c r="K8" s="33"/>
      <c r="L8" s="34"/>
      <c r="M8" s="34"/>
      <c r="N8" s="34"/>
      <c r="O8" s="34"/>
    </row>
    <row r="9" spans="1:30" ht="18" customHeight="1" x14ac:dyDescent="0.2">
      <c r="A9" s="39"/>
      <c r="B9" s="45"/>
      <c r="C9" s="66" t="s">
        <v>650</v>
      </c>
      <c r="D9" s="66"/>
      <c r="E9" s="66"/>
      <c r="F9" s="66"/>
      <c r="G9" s="47"/>
      <c r="H9" s="47"/>
      <c r="I9" s="33"/>
      <c r="J9" s="33"/>
      <c r="K9" s="33"/>
      <c r="L9" s="34"/>
      <c r="M9" s="34"/>
      <c r="N9" s="34"/>
      <c r="O9" s="34"/>
    </row>
    <row r="10" spans="1:30" ht="39.75" customHeight="1" x14ac:dyDescent="0.25">
      <c r="A10" s="67" t="s">
        <v>590</v>
      </c>
      <c r="B10" s="67"/>
      <c r="C10" s="87" t="s">
        <v>651</v>
      </c>
      <c r="D10" s="87"/>
      <c r="E10" s="87"/>
      <c r="F10" s="87"/>
      <c r="G10" s="87"/>
      <c r="H10" s="87"/>
      <c r="I10" s="87"/>
      <c r="J10" s="87"/>
      <c r="K10" s="87"/>
      <c r="L10" s="9"/>
      <c r="M10" s="9"/>
      <c r="AD10" s="31" t="s">
        <v>644</v>
      </c>
    </row>
    <row r="11" spans="1:30" ht="14.25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</row>
    <row r="12" spans="1:30" ht="14.25" x14ac:dyDescent="0.2">
      <c r="A12" s="68" t="s">
        <v>645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9"/>
      <c r="M12" s="9"/>
    </row>
    <row r="13" spans="1:30" ht="14.25" x14ac:dyDescent="0.2">
      <c r="A13" s="78" t="s">
        <v>610</v>
      </c>
      <c r="B13" s="78"/>
      <c r="C13" s="78"/>
      <c r="D13" s="78"/>
      <c r="E13" s="78"/>
      <c r="F13" s="80" t="s">
        <v>591</v>
      </c>
      <c r="G13" s="80"/>
      <c r="H13" s="80"/>
      <c r="I13" s="69">
        <f>H459</f>
        <v>1997431.03</v>
      </c>
      <c r="J13" s="62"/>
      <c r="K13" s="11" t="s">
        <v>646</v>
      </c>
      <c r="L13" s="9"/>
      <c r="M13" s="9"/>
    </row>
    <row r="14" spans="1:30" ht="14.25" x14ac:dyDescent="0.2">
      <c r="A14" s="78"/>
      <c r="B14" s="78"/>
      <c r="C14" s="78"/>
      <c r="D14" s="78"/>
      <c r="E14" s="78"/>
      <c r="F14" s="80" t="s">
        <v>593</v>
      </c>
      <c r="G14" s="80"/>
      <c r="H14" s="80"/>
      <c r="I14" s="69">
        <f>(Source!F385+Source!F386)</f>
        <v>860.37563545</v>
      </c>
      <c r="J14" s="62"/>
      <c r="K14" s="11" t="s">
        <v>594</v>
      </c>
      <c r="L14" s="9"/>
      <c r="M14" s="9"/>
    </row>
    <row r="15" spans="1:30" ht="14.25" x14ac:dyDescent="0.2">
      <c r="A15" s="79"/>
      <c r="B15" s="79"/>
      <c r="C15" s="79"/>
      <c r="D15" s="79"/>
      <c r="E15" s="79"/>
      <c r="F15" s="81" t="s">
        <v>595</v>
      </c>
      <c r="G15" s="81"/>
      <c r="H15" s="81"/>
      <c r="I15" s="82">
        <f>(Source!F378+ Source!F377)/1000*8.21</f>
        <v>55.033928799999998</v>
      </c>
      <c r="J15" s="83"/>
      <c r="K15" s="11" t="s">
        <v>592</v>
      </c>
      <c r="L15" s="9"/>
      <c r="M15" s="9"/>
    </row>
    <row r="16" spans="1:30" ht="14.25" x14ac:dyDescent="0.2">
      <c r="A16" s="76" t="s">
        <v>596</v>
      </c>
      <c r="B16" s="76" t="s">
        <v>597</v>
      </c>
      <c r="C16" s="76" t="s">
        <v>598</v>
      </c>
      <c r="D16" s="76" t="s">
        <v>599</v>
      </c>
      <c r="E16" s="76" t="s">
        <v>600</v>
      </c>
      <c r="F16" s="76"/>
      <c r="G16" s="77" t="s">
        <v>601</v>
      </c>
      <c r="H16" s="77"/>
      <c r="I16" s="77"/>
      <c r="J16" s="76" t="s">
        <v>602</v>
      </c>
      <c r="K16" s="76"/>
      <c r="L16" s="9"/>
      <c r="M16" s="9"/>
    </row>
    <row r="17" spans="1:28" ht="20.100000000000001" customHeight="1" x14ac:dyDescent="0.2">
      <c r="A17" s="76"/>
      <c r="B17" s="76"/>
      <c r="C17" s="76"/>
      <c r="D17" s="76"/>
      <c r="E17" s="76" t="s">
        <v>118</v>
      </c>
      <c r="F17" s="76" t="s">
        <v>603</v>
      </c>
      <c r="G17" s="76" t="s">
        <v>118</v>
      </c>
      <c r="H17" s="76" t="s">
        <v>604</v>
      </c>
      <c r="I17" s="76" t="s">
        <v>603</v>
      </c>
      <c r="J17" s="76"/>
      <c r="K17" s="76"/>
      <c r="L17" s="9"/>
      <c r="M17" s="9"/>
    </row>
    <row r="18" spans="1:28" ht="14.25" x14ac:dyDescent="0.2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9"/>
      <c r="M18" s="9"/>
    </row>
    <row r="19" spans="1:28" ht="20.100000000000001" customHeight="1" x14ac:dyDescent="0.2">
      <c r="A19" s="76"/>
      <c r="B19" s="76"/>
      <c r="C19" s="76"/>
      <c r="D19" s="76"/>
      <c r="E19" s="76" t="s">
        <v>605</v>
      </c>
      <c r="F19" s="76" t="s">
        <v>606</v>
      </c>
      <c r="G19" s="76"/>
      <c r="H19" s="76"/>
      <c r="I19" s="76" t="s">
        <v>606</v>
      </c>
      <c r="J19" s="76" t="s">
        <v>607</v>
      </c>
      <c r="K19" s="76"/>
      <c r="L19" s="9"/>
      <c r="M19" s="9"/>
    </row>
    <row r="20" spans="1:28" ht="14.25" x14ac:dyDescent="0.2">
      <c r="A20" s="76"/>
      <c r="B20" s="76"/>
      <c r="C20" s="76"/>
      <c r="D20" s="76"/>
      <c r="E20" s="76"/>
      <c r="F20" s="76"/>
      <c r="G20" s="76"/>
      <c r="H20" s="76"/>
      <c r="I20" s="76"/>
      <c r="J20" s="12" t="s">
        <v>608</v>
      </c>
      <c r="K20" s="12" t="s">
        <v>609</v>
      </c>
      <c r="L20" s="9"/>
      <c r="M20" s="9"/>
    </row>
    <row r="21" spans="1:28" ht="14.25" x14ac:dyDescent="0.2">
      <c r="A21" s="18">
        <v>1</v>
      </c>
      <c r="B21" s="18">
        <v>2</v>
      </c>
      <c r="C21" s="18">
        <v>3</v>
      </c>
      <c r="D21" s="18">
        <v>4</v>
      </c>
      <c r="E21" s="18">
        <v>5</v>
      </c>
      <c r="F21" s="18">
        <v>6</v>
      </c>
      <c r="G21" s="18">
        <v>7</v>
      </c>
      <c r="H21" s="18">
        <v>8</v>
      </c>
      <c r="I21" s="18">
        <v>9</v>
      </c>
      <c r="J21" s="18">
        <v>10</v>
      </c>
      <c r="K21" s="18">
        <v>11</v>
      </c>
      <c r="L21" s="9"/>
      <c r="M21" s="9"/>
    </row>
    <row r="22" spans="1:28" x14ac:dyDescent="0.2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3" spans="1:28" ht="16.5" x14ac:dyDescent="0.25">
      <c r="A23" s="75" t="str">
        <f>CONCATENATE("Раздел: ",IF(Source!G24&lt;&gt;"Новый раздел", Source!G24, ""))</f>
        <v>Раздел: 1.  ул. Октябрьской революции 4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28" x14ac:dyDescent="0.2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28" ht="16.5" x14ac:dyDescent="0.25">
      <c r="A25" s="75" t="str">
        <f>CONCATENATE("Подраздел: ",IF(Source!G28&lt;&gt;"Новый подраздел", Source!G28, ""))</f>
        <v>Подраздел: Расчистка территории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28" ht="42.75" x14ac:dyDescent="0.2">
      <c r="A26" s="50" t="str">
        <f>Source!E32</f>
        <v>1</v>
      </c>
      <c r="B26" s="50" t="str">
        <f>Source!F32</f>
        <v>68-12-5</v>
      </c>
      <c r="C26" s="51" t="str">
        <f>Source!G32</f>
        <v>Разборка покрытий и оснований цементно-бетонных (демонтаж скамеек, урн)</v>
      </c>
      <c r="D26" s="52">
        <f>Source!I32</f>
        <v>1.5E-3</v>
      </c>
      <c r="E26" s="53">
        <f>Source!AB32</f>
        <v>2435.09</v>
      </c>
      <c r="F26" s="53">
        <f>Source!AD32</f>
        <v>1923.69</v>
      </c>
      <c r="G26" s="53">
        <f>Source!O32</f>
        <v>3.66</v>
      </c>
      <c r="H26" s="53">
        <f>Source!S32</f>
        <v>0.77</v>
      </c>
      <c r="I26" s="53">
        <f>Source!Q32</f>
        <v>2.89</v>
      </c>
      <c r="J26" s="53">
        <f>Source!AH32</f>
        <v>77.72</v>
      </c>
      <c r="K26" s="53">
        <f>Source!U32</f>
        <v>0.11658</v>
      </c>
      <c r="T26">
        <f>Source!O32+Source!X32+Source!Y32</f>
        <v>5.48</v>
      </c>
      <c r="U26">
        <f>Source!P32</f>
        <v>0</v>
      </c>
      <c r="V26">
        <f>Source!S32</f>
        <v>0.77</v>
      </c>
      <c r="W26">
        <f>Source!Q32</f>
        <v>2.89</v>
      </c>
      <c r="X26">
        <f>Source!R32</f>
        <v>0.34</v>
      </c>
      <c r="Y26">
        <f>Source!U32</f>
        <v>0.11658</v>
      </c>
      <c r="Z26">
        <f>Source!V32</f>
        <v>2.5275000000000002E-2</v>
      </c>
      <c r="AA26">
        <f>Source!X32</f>
        <v>1.1499999999999999</v>
      </c>
      <c r="AB26">
        <f>Source!Y32</f>
        <v>0.67</v>
      </c>
    </row>
    <row r="27" spans="1:28" ht="14.25" x14ac:dyDescent="0.2">
      <c r="A27" s="49"/>
      <c r="B27" s="49"/>
      <c r="C27" s="54" t="str">
        <f>Source!H32</f>
        <v>100 м3 конструкций</v>
      </c>
      <c r="D27" s="52"/>
      <c r="E27" s="53">
        <f>Source!AF32</f>
        <v>511.4</v>
      </c>
      <c r="F27" s="53">
        <f>Source!AE32</f>
        <v>223.43</v>
      </c>
      <c r="G27" s="53"/>
      <c r="H27" s="53"/>
      <c r="I27" s="53">
        <f>Source!R32</f>
        <v>0.34</v>
      </c>
      <c r="J27" s="53">
        <f>Source!AI32</f>
        <v>16.850000000000001</v>
      </c>
      <c r="K27" s="53">
        <f>Source!V32</f>
        <v>2.5275000000000002E-2</v>
      </c>
    </row>
    <row r="28" spans="1:28" ht="38.25" x14ac:dyDescent="0.2">
      <c r="A28" s="49"/>
      <c r="B28" s="49"/>
      <c r="C28" s="55" t="str">
        <f>"Объем: "&amp;Source!I32&amp;"=(2*"&amp;"4*"&amp;"0,2*"&amp;"0,2*"&amp;"0,335+"&amp;"3*"&amp;"1*"&amp;"0,2*"&amp;"0,2*"&amp;"0,35)/"&amp;"100"</f>
        <v>Объем: 0,0015=(2*4*0,2*0,2*0,335+3*1*0,2*0,2*0,35)/100</v>
      </c>
      <c r="D28" s="49"/>
      <c r="E28" s="49"/>
      <c r="F28" s="49"/>
      <c r="G28" s="49"/>
      <c r="H28" s="49"/>
      <c r="I28" s="49"/>
      <c r="J28" s="49"/>
      <c r="K28" s="49"/>
    </row>
    <row r="29" spans="1:28" x14ac:dyDescent="0.2">
      <c r="A29" s="49"/>
      <c r="B29" s="49"/>
      <c r="C29" s="56" t="s">
        <v>611</v>
      </c>
      <c r="D29" s="57">
        <f>Source!BZ32</f>
        <v>104</v>
      </c>
      <c r="E29" s="58">
        <f>(Source!AF32+Source!AE32)*Source!FX32/100</f>
        <v>764.22319999999991</v>
      </c>
      <c r="F29" s="57"/>
      <c r="G29" s="58">
        <f>Source!X32</f>
        <v>1.1499999999999999</v>
      </c>
      <c r="H29" s="57" t="str">
        <f>CONCATENATE(Source!AT32)</f>
        <v>104</v>
      </c>
      <c r="I29" s="57"/>
      <c r="J29" s="57"/>
      <c r="K29" s="57"/>
    </row>
    <row r="30" spans="1:28" x14ac:dyDescent="0.2">
      <c r="A30" s="49"/>
      <c r="B30" s="49"/>
      <c r="C30" s="56" t="s">
        <v>612</v>
      </c>
      <c r="D30" s="57">
        <f>Source!CA32</f>
        <v>60</v>
      </c>
      <c r="E30" s="58">
        <f>(Source!AF32+Source!AE32)*Source!FY32/100</f>
        <v>440.89799999999997</v>
      </c>
      <c r="F30" s="57"/>
      <c r="G30" s="58">
        <f>Source!Y32</f>
        <v>0.67</v>
      </c>
      <c r="H30" s="57" t="str">
        <f>CONCATENATE(Source!AU32)</f>
        <v>60</v>
      </c>
      <c r="I30" s="57"/>
      <c r="J30" s="57"/>
      <c r="K30" s="57"/>
    </row>
    <row r="31" spans="1:28" x14ac:dyDescent="0.2">
      <c r="A31" s="49"/>
      <c r="B31" s="49"/>
      <c r="C31" s="56" t="s">
        <v>613</v>
      </c>
      <c r="D31" s="57"/>
      <c r="E31" s="58">
        <f>((Source!AF32+Source!AE32)*Source!FX32/100)+((Source!AF32+Source!AE32)*Source!FY32/100)+Source!AB32</f>
        <v>3640.2111999999997</v>
      </c>
      <c r="F31" s="57"/>
      <c r="G31" s="58">
        <f>Source!O32+Source!X32+Source!Y32</f>
        <v>5.48</v>
      </c>
      <c r="H31" s="57"/>
      <c r="I31" s="57"/>
      <c r="J31" s="57"/>
      <c r="K31" s="57"/>
    </row>
    <row r="32" spans="1:28" ht="114" x14ac:dyDescent="0.2">
      <c r="A32" s="50" t="str">
        <f>Source!E33</f>
        <v>2</v>
      </c>
      <c r="B32" s="50" t="str">
        <f>Source!F33</f>
        <v>27-03-011-2</v>
      </c>
      <c r="C32" s="51" t="str">
        <f>Source!G33</f>
        <v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v>
      </c>
      <c r="D32" s="52">
        <f>Source!I33</f>
        <v>9.2039000000000009</v>
      </c>
      <c r="E32" s="53">
        <f>Source!AB33</f>
        <v>713.69</v>
      </c>
      <c r="F32" s="53">
        <f>Source!AD33</f>
        <v>710.4</v>
      </c>
      <c r="G32" s="53">
        <f>Source!O33</f>
        <v>6568.73</v>
      </c>
      <c r="H32" s="53">
        <f>Source!S33</f>
        <v>26.6</v>
      </c>
      <c r="I32" s="53">
        <f>Source!Q33</f>
        <v>6538.45</v>
      </c>
      <c r="J32" s="53">
        <f>Source!AH33</f>
        <v>0.42</v>
      </c>
      <c r="K32" s="53">
        <f>Source!U33</f>
        <v>3.8656380000000001</v>
      </c>
      <c r="T32">
        <f>Source!O33+Source!X33+Source!Y33</f>
        <v>6857.5199999999995</v>
      </c>
      <c r="U32">
        <f>Source!P33</f>
        <v>3.68</v>
      </c>
      <c r="V32">
        <f>Source!S33</f>
        <v>26.6</v>
      </c>
      <c r="W32">
        <f>Source!Q33</f>
        <v>6538.45</v>
      </c>
      <c r="X32">
        <f>Source!R33</f>
        <v>102.9</v>
      </c>
      <c r="Y32">
        <f>Source!U33</f>
        <v>3.8656380000000001</v>
      </c>
      <c r="Z32">
        <f>Source!V33</f>
        <v>8.3755490000000012</v>
      </c>
      <c r="AA32">
        <f>Source!X33</f>
        <v>183.89</v>
      </c>
      <c r="AB32">
        <f>Source!Y33</f>
        <v>104.9</v>
      </c>
    </row>
    <row r="33" spans="1:28" ht="28.5" x14ac:dyDescent="0.2">
      <c r="A33" s="49"/>
      <c r="B33" s="49"/>
      <c r="C33" s="54" t="str">
        <f>Source!H33</f>
        <v>100 М2 АСФАЛЬТОБЕТОННОГО ПОКРЫТИЯ</v>
      </c>
      <c r="D33" s="52"/>
      <c r="E33" s="53">
        <f>Source!AF33</f>
        <v>2.89</v>
      </c>
      <c r="F33" s="53">
        <f>Source!AE33</f>
        <v>11.18</v>
      </c>
      <c r="G33" s="53"/>
      <c r="H33" s="53"/>
      <c r="I33" s="53">
        <f>Source!R33</f>
        <v>102.9</v>
      </c>
      <c r="J33" s="53">
        <f>Source!AI33</f>
        <v>0.91</v>
      </c>
      <c r="K33" s="53">
        <f>Source!V33</f>
        <v>8.3755490000000012</v>
      </c>
    </row>
    <row r="34" spans="1:28" x14ac:dyDescent="0.2">
      <c r="A34" s="49"/>
      <c r="B34" s="49"/>
      <c r="C34" s="55" t="str">
        <f>"Объем: "&amp;Source!I33&amp;"=920,39/"&amp;"100"</f>
        <v>Объем: 9,2039=920,39/100</v>
      </c>
      <c r="D34" s="49"/>
      <c r="E34" s="49"/>
      <c r="F34" s="49"/>
      <c r="G34" s="49"/>
      <c r="H34" s="49"/>
      <c r="I34" s="49"/>
      <c r="J34" s="49"/>
      <c r="K34" s="49"/>
    </row>
    <row r="35" spans="1:28" x14ac:dyDescent="0.2">
      <c r="A35" s="49"/>
      <c r="B35" s="49"/>
      <c r="C35" s="56" t="s">
        <v>611</v>
      </c>
      <c r="D35" s="57">
        <f>Source!BZ33</f>
        <v>142</v>
      </c>
      <c r="E35" s="58">
        <f>(Source!AF33+Source!AE33)*Source!FX33/100</f>
        <v>19.979400000000002</v>
      </c>
      <c r="F35" s="57"/>
      <c r="G35" s="58">
        <f>Source!X33</f>
        <v>183.89</v>
      </c>
      <c r="H35" s="57" t="str">
        <f>CONCATENATE(Source!AT33)</f>
        <v>142</v>
      </c>
      <c r="I35" s="57"/>
      <c r="J35" s="57"/>
      <c r="K35" s="57"/>
    </row>
    <row r="36" spans="1:28" x14ac:dyDescent="0.2">
      <c r="A36" s="49"/>
      <c r="B36" s="49"/>
      <c r="C36" s="56" t="s">
        <v>612</v>
      </c>
      <c r="D36" s="57">
        <f>Source!CA33</f>
        <v>95</v>
      </c>
      <c r="E36" s="58">
        <f>(Source!AF33+Source!AE33)*Source!FY33/100</f>
        <v>11.361524999999999</v>
      </c>
      <c r="F36" s="57" t="str">
        <f>CONCATENATE(Source!DM33,Source!FU33, "=", Source!FY33, "%")</f>
        <v>*0,85=80,75%</v>
      </c>
      <c r="G36" s="58">
        <f>Source!Y33</f>
        <v>104.9</v>
      </c>
      <c r="H36" s="57" t="str">
        <f>CONCATENATE(Source!AU33)</f>
        <v>81</v>
      </c>
      <c r="I36" s="57"/>
      <c r="J36" s="57"/>
      <c r="K36" s="57"/>
    </row>
    <row r="37" spans="1:28" x14ac:dyDescent="0.2">
      <c r="A37" s="49"/>
      <c r="B37" s="49"/>
      <c r="C37" s="56" t="s">
        <v>613</v>
      </c>
      <c r="D37" s="57"/>
      <c r="E37" s="58">
        <f>((Source!AF33+Source!AE33)*Source!FX33/100)+((Source!AF33+Source!AE33)*Source!FY33/100)+Source!AB33</f>
        <v>745.03092500000002</v>
      </c>
      <c r="F37" s="57"/>
      <c r="G37" s="58">
        <f>Source!O33+Source!X33+Source!Y33</f>
        <v>6857.5199999999995</v>
      </c>
      <c r="H37" s="57"/>
      <c r="I37" s="57"/>
      <c r="J37" s="57"/>
      <c r="K37" s="57"/>
    </row>
    <row r="38" spans="1:28" ht="28.5" x14ac:dyDescent="0.2">
      <c r="A38" s="50" t="str">
        <f>Source!E34</f>
        <v>3</v>
      </c>
      <c r="B38" s="50" t="str">
        <f>Source!F34</f>
        <v>68-14-1</v>
      </c>
      <c r="C38" s="51" t="str">
        <f>Source!G34</f>
        <v>Разборка бортовых камней: на бетонном основании</v>
      </c>
      <c r="D38" s="52">
        <f>Source!I34</f>
        <v>2.8119999999999998</v>
      </c>
      <c r="E38" s="53">
        <f>Source!AB34</f>
        <v>1367.32</v>
      </c>
      <c r="F38" s="53">
        <f>Source!AD34</f>
        <v>887.45</v>
      </c>
      <c r="G38" s="53">
        <f>Source!O34</f>
        <v>3844.9</v>
      </c>
      <c r="H38" s="53">
        <f>Source!S34</f>
        <v>1349.39</v>
      </c>
      <c r="I38" s="53">
        <f>Source!Q34</f>
        <v>2495.5100000000002</v>
      </c>
      <c r="J38" s="53">
        <f>Source!AH34</f>
        <v>68.260000000000005</v>
      </c>
      <c r="K38" s="53">
        <f>Source!U34</f>
        <v>191.94712000000001</v>
      </c>
      <c r="T38">
        <f>Source!O34+Source!X34+Source!Y34</f>
        <v>6486.18</v>
      </c>
      <c r="U38">
        <f>Source!P34</f>
        <v>0</v>
      </c>
      <c r="V38">
        <f>Source!S34</f>
        <v>1349.39</v>
      </c>
      <c r="W38">
        <f>Source!Q34</f>
        <v>2495.5100000000002</v>
      </c>
      <c r="X38">
        <f>Source!R34</f>
        <v>261.14999999999998</v>
      </c>
      <c r="Y38">
        <f>Source!U34</f>
        <v>191.94712000000001</v>
      </c>
      <c r="Z38">
        <f>Source!V34</f>
        <v>26.4328</v>
      </c>
      <c r="AA38">
        <f>Source!X34</f>
        <v>1674.96</v>
      </c>
      <c r="AB38">
        <f>Source!Y34</f>
        <v>966.32</v>
      </c>
    </row>
    <row r="39" spans="1:28" ht="14.25" x14ac:dyDescent="0.2">
      <c r="A39" s="49"/>
      <c r="B39" s="49"/>
      <c r="C39" s="54" t="str">
        <f>Source!H34</f>
        <v>100 м</v>
      </c>
      <c r="D39" s="52"/>
      <c r="E39" s="53">
        <f>Source!AF34</f>
        <v>479.87</v>
      </c>
      <c r="F39" s="53">
        <f>Source!AE34</f>
        <v>92.87</v>
      </c>
      <c r="G39" s="53"/>
      <c r="H39" s="53"/>
      <c r="I39" s="53">
        <f>Source!R34</f>
        <v>261.14999999999998</v>
      </c>
      <c r="J39" s="53">
        <f>Source!AI34</f>
        <v>9.4</v>
      </c>
      <c r="K39" s="53">
        <f>Source!V34</f>
        <v>26.4328</v>
      </c>
    </row>
    <row r="40" spans="1:28" x14ac:dyDescent="0.2">
      <c r="A40" s="49"/>
      <c r="B40" s="49"/>
      <c r="C40" s="55" t="str">
        <f>"Объем: "&amp;Source!I34&amp;"=281,2/"&amp;"100"</f>
        <v>Объем: 2,812=281,2/100</v>
      </c>
      <c r="D40" s="49"/>
      <c r="E40" s="49"/>
      <c r="F40" s="49"/>
      <c r="G40" s="49"/>
      <c r="H40" s="49"/>
      <c r="I40" s="49"/>
      <c r="J40" s="49"/>
      <c r="K40" s="49"/>
    </row>
    <row r="41" spans="1:28" x14ac:dyDescent="0.2">
      <c r="A41" s="49"/>
      <c r="B41" s="49"/>
      <c r="C41" s="56" t="s">
        <v>611</v>
      </c>
      <c r="D41" s="57">
        <f>Source!BZ34</f>
        <v>104</v>
      </c>
      <c r="E41" s="58">
        <f>(Source!AF34+Source!AE34)*Source!FX34/100</f>
        <v>595.64959999999996</v>
      </c>
      <c r="F41" s="57"/>
      <c r="G41" s="58">
        <f>Source!X34</f>
        <v>1674.96</v>
      </c>
      <c r="H41" s="57" t="str">
        <f>CONCATENATE(Source!AT34)</f>
        <v>104</v>
      </c>
      <c r="I41" s="57"/>
      <c r="J41" s="57"/>
      <c r="K41" s="57"/>
    </row>
    <row r="42" spans="1:28" x14ac:dyDescent="0.2">
      <c r="A42" s="49"/>
      <c r="B42" s="49"/>
      <c r="C42" s="56" t="s">
        <v>612</v>
      </c>
      <c r="D42" s="57">
        <f>Source!CA34</f>
        <v>60</v>
      </c>
      <c r="E42" s="58">
        <f>(Source!AF34+Source!AE34)*Source!FY34/100</f>
        <v>343.64400000000001</v>
      </c>
      <c r="F42" s="57"/>
      <c r="G42" s="58">
        <f>Source!Y34</f>
        <v>966.32</v>
      </c>
      <c r="H42" s="57" t="str">
        <f>CONCATENATE(Source!AU34)</f>
        <v>60</v>
      </c>
      <c r="I42" s="57"/>
      <c r="J42" s="57"/>
      <c r="K42" s="57"/>
    </row>
    <row r="43" spans="1:28" x14ac:dyDescent="0.2">
      <c r="A43" s="49"/>
      <c r="B43" s="49"/>
      <c r="C43" s="56" t="s">
        <v>613</v>
      </c>
      <c r="D43" s="57"/>
      <c r="E43" s="58">
        <f>((Source!AF34+Source!AE34)*Source!FX34/100)+((Source!AF34+Source!AE34)*Source!FY34/100)+Source!AB34</f>
        <v>2306.6135999999997</v>
      </c>
      <c r="F43" s="57"/>
      <c r="G43" s="58">
        <f>Source!O34+Source!X34+Source!Y34</f>
        <v>6486.18</v>
      </c>
      <c r="H43" s="57"/>
      <c r="I43" s="57"/>
      <c r="J43" s="57"/>
      <c r="K43" s="57"/>
    </row>
    <row r="44" spans="1:28" ht="57" x14ac:dyDescent="0.2">
      <c r="A44" s="50" t="str">
        <f>Source!E35</f>
        <v>4</v>
      </c>
      <c r="B44" s="50" t="str">
        <f>Source!F35</f>
        <v>01-01-013-1</v>
      </c>
      <c r="C44" s="51" t="str">
        <f>Source!G35</f>
        <v>Разработка грунта с погрузкой на автомобили-самосвалы экскаваторами с ковшом вместимостью: 1 (1-1,2) м3, группа грунтов 1</v>
      </c>
      <c r="D44" s="52">
        <f>Source!I35</f>
        <v>0.11840000000000001</v>
      </c>
      <c r="E44" s="53">
        <f>Source!AB35</f>
        <v>2660.09</v>
      </c>
      <c r="F44" s="53">
        <f>Source!AD35</f>
        <v>2609.7199999999998</v>
      </c>
      <c r="G44" s="53">
        <f>Source!O35</f>
        <v>314.95</v>
      </c>
      <c r="H44" s="53">
        <f>Source!S35</f>
        <v>5.53</v>
      </c>
      <c r="I44" s="53">
        <f>Source!Q35</f>
        <v>308.99</v>
      </c>
      <c r="J44" s="53">
        <f>Source!AH35</f>
        <v>7.3599999999999994</v>
      </c>
      <c r="K44" s="53">
        <f>Source!U35</f>
        <v>0.87142399999999998</v>
      </c>
      <c r="T44">
        <f>Source!O35+Source!X35+Source!Y35</f>
        <v>372.84000000000003</v>
      </c>
      <c r="U44">
        <f>Source!P35</f>
        <v>0.43</v>
      </c>
      <c r="V44">
        <f>Source!S35</f>
        <v>5.53</v>
      </c>
      <c r="W44">
        <f>Source!Q35</f>
        <v>308.99</v>
      </c>
      <c r="X44">
        <f>Source!R35</f>
        <v>36.42</v>
      </c>
      <c r="Y44">
        <f>Source!U35</f>
        <v>0.87142399999999998</v>
      </c>
      <c r="Z44">
        <f>Source!V35</f>
        <v>2.74688</v>
      </c>
      <c r="AA44">
        <f>Source!X35</f>
        <v>39.85</v>
      </c>
      <c r="AB44">
        <f>Source!Y35</f>
        <v>18.04</v>
      </c>
    </row>
    <row r="45" spans="1:28" ht="14.25" x14ac:dyDescent="0.2">
      <c r="A45" s="49"/>
      <c r="B45" s="49"/>
      <c r="C45" s="54" t="str">
        <f>Source!H35</f>
        <v>1000 м3 грунта</v>
      </c>
      <c r="D45" s="52"/>
      <c r="E45" s="53">
        <f>Source!AF35</f>
        <v>46.74</v>
      </c>
      <c r="F45" s="53">
        <f>Source!AE35</f>
        <v>307.64</v>
      </c>
      <c r="G45" s="53"/>
      <c r="H45" s="53"/>
      <c r="I45" s="53">
        <f>Source!R35</f>
        <v>36.42</v>
      </c>
      <c r="J45" s="53">
        <f>Source!AI35</f>
        <v>23.2</v>
      </c>
      <c r="K45" s="53">
        <f>Source!V35</f>
        <v>2.74688</v>
      </c>
    </row>
    <row r="46" spans="1:28" ht="25.5" x14ac:dyDescent="0.2">
      <c r="A46" s="49"/>
      <c r="B46" s="49"/>
      <c r="C46" s="55" t="str">
        <f>"Объем: "&amp;Source!I35&amp;"=(920,39*"&amp;"0,08+"&amp;"172,16*"&amp;"0,26)/"&amp;"1000"</f>
        <v>Объем: 0,1184=(920,39*0,08+172,16*0,26)/1000</v>
      </c>
      <c r="D46" s="49"/>
      <c r="E46" s="49"/>
      <c r="F46" s="49"/>
      <c r="G46" s="49"/>
      <c r="H46" s="49"/>
      <c r="I46" s="49"/>
      <c r="J46" s="49"/>
      <c r="K46" s="49"/>
    </row>
    <row r="47" spans="1:28" x14ac:dyDescent="0.2">
      <c r="A47" s="49"/>
      <c r="B47" s="49"/>
      <c r="C47" s="55" t="s">
        <v>614</v>
      </c>
      <c r="D47" s="74" t="s">
        <v>12</v>
      </c>
      <c r="E47" s="74"/>
      <c r="F47" s="74"/>
      <c r="G47" s="74"/>
      <c r="H47" s="74"/>
      <c r="I47" s="74"/>
      <c r="J47" s="74"/>
      <c r="K47" s="74"/>
    </row>
    <row r="48" spans="1:28" x14ac:dyDescent="0.2">
      <c r="A48" s="49"/>
      <c r="B48" s="49"/>
      <c r="C48" s="55" t="s">
        <v>615</v>
      </c>
      <c r="D48" s="74" t="s">
        <v>12</v>
      </c>
      <c r="E48" s="74"/>
      <c r="F48" s="74"/>
      <c r="G48" s="74"/>
      <c r="H48" s="74"/>
      <c r="I48" s="74"/>
      <c r="J48" s="74"/>
      <c r="K48" s="74"/>
    </row>
    <row r="49" spans="1:28" x14ac:dyDescent="0.2">
      <c r="A49" s="49"/>
      <c r="B49" s="49"/>
      <c r="C49" s="55" t="s">
        <v>616</v>
      </c>
      <c r="D49" s="74" t="s">
        <v>13</v>
      </c>
      <c r="E49" s="74"/>
      <c r="F49" s="74"/>
      <c r="G49" s="74"/>
      <c r="H49" s="74"/>
      <c r="I49" s="74"/>
      <c r="J49" s="74"/>
      <c r="K49" s="74"/>
    </row>
    <row r="50" spans="1:28" x14ac:dyDescent="0.2">
      <c r="A50" s="49"/>
      <c r="B50" s="49"/>
      <c r="C50" s="55" t="s">
        <v>617</v>
      </c>
      <c r="D50" s="74" t="s">
        <v>13</v>
      </c>
      <c r="E50" s="74"/>
      <c r="F50" s="74"/>
      <c r="G50" s="74"/>
      <c r="H50" s="74"/>
      <c r="I50" s="74"/>
      <c r="J50" s="74"/>
      <c r="K50" s="74"/>
    </row>
    <row r="51" spans="1:28" x14ac:dyDescent="0.2">
      <c r="A51" s="49"/>
      <c r="B51" s="49"/>
      <c r="C51" s="55" t="s">
        <v>618</v>
      </c>
      <c r="D51" s="74" t="s">
        <v>12</v>
      </c>
      <c r="E51" s="74"/>
      <c r="F51" s="74"/>
      <c r="G51" s="74"/>
      <c r="H51" s="74"/>
      <c r="I51" s="74"/>
      <c r="J51" s="74"/>
      <c r="K51" s="74"/>
    </row>
    <row r="52" spans="1:28" x14ac:dyDescent="0.2">
      <c r="A52" s="49"/>
      <c r="B52" s="49"/>
      <c r="C52" s="56" t="s">
        <v>611</v>
      </c>
      <c r="D52" s="57">
        <f>Source!BZ35</f>
        <v>95</v>
      </c>
      <c r="E52" s="58">
        <f>(Source!AF35+Source!AE35)*Source!FX35/100</f>
        <v>336.661</v>
      </c>
      <c r="F52" s="57"/>
      <c r="G52" s="58">
        <f>Source!X35</f>
        <v>39.85</v>
      </c>
      <c r="H52" s="57" t="str">
        <f>CONCATENATE(Source!AT35)</f>
        <v>95</v>
      </c>
      <c r="I52" s="57"/>
      <c r="J52" s="57"/>
      <c r="K52" s="57"/>
    </row>
    <row r="53" spans="1:28" x14ac:dyDescent="0.2">
      <c r="A53" s="49"/>
      <c r="B53" s="49"/>
      <c r="C53" s="56" t="s">
        <v>612</v>
      </c>
      <c r="D53" s="57">
        <f>Source!CA35</f>
        <v>50</v>
      </c>
      <c r="E53" s="58">
        <f>(Source!AF35+Source!AE35)*Source!FY35/100</f>
        <v>150.61150000000001</v>
      </c>
      <c r="F53" s="57" t="str">
        <f>CONCATENATE(Source!DM35,Source!FU35, "=", Source!FY35, "%")</f>
        <v>*0,85=42,5%</v>
      </c>
      <c r="G53" s="58">
        <f>Source!Y35</f>
        <v>18.04</v>
      </c>
      <c r="H53" s="57" t="str">
        <f>CONCATENATE(Source!AU35)</f>
        <v>43</v>
      </c>
      <c r="I53" s="57"/>
      <c r="J53" s="57"/>
      <c r="K53" s="57"/>
    </row>
    <row r="54" spans="1:28" x14ac:dyDescent="0.2">
      <c r="A54" s="49"/>
      <c r="B54" s="49"/>
      <c r="C54" s="56" t="s">
        <v>613</v>
      </c>
      <c r="D54" s="57"/>
      <c r="E54" s="58">
        <f>((Source!AF35+Source!AE35)*Source!FX35/100)+((Source!AF35+Source!AE35)*Source!FY35/100)+Source!AB35</f>
        <v>3147.3625000000002</v>
      </c>
      <c r="F54" s="57"/>
      <c r="G54" s="58">
        <f>Source!O35+Source!X35+Source!Y35</f>
        <v>372.84000000000003</v>
      </c>
      <c r="H54" s="57"/>
      <c r="I54" s="57"/>
      <c r="J54" s="57"/>
      <c r="K54" s="57"/>
    </row>
    <row r="55" spans="1:28" ht="71.25" x14ac:dyDescent="0.2">
      <c r="A55" s="50" t="str">
        <f>Source!E36</f>
        <v>5</v>
      </c>
      <c r="B55" s="50" t="str">
        <f>Source!F36</f>
        <v>пг01-01-01-043</v>
      </c>
      <c r="C55" s="51" t="str">
        <f>Source!G36</f>
        <v>Погрузочные работы при автомобильных перевозках: мусора строительного с погрузкой экскаваторами емкостью ковша до 0,5 м3</v>
      </c>
      <c r="D55" s="52">
        <f>Source!I36</f>
        <v>28.48</v>
      </c>
      <c r="E55" s="53">
        <f>Source!AB36</f>
        <v>3.52</v>
      </c>
      <c r="F55" s="53">
        <f>Source!AD36</f>
        <v>3.52</v>
      </c>
      <c r="G55" s="53">
        <f>Source!O36</f>
        <v>100.25</v>
      </c>
      <c r="H55" s="53">
        <f>Source!S36</f>
        <v>0</v>
      </c>
      <c r="I55" s="53">
        <f>Source!Q36</f>
        <v>100.25</v>
      </c>
      <c r="J55" s="53">
        <f>Source!AH36</f>
        <v>0</v>
      </c>
      <c r="K55" s="53">
        <f>Source!U36</f>
        <v>0</v>
      </c>
      <c r="T55">
        <f>Source!O36+Source!X36+Source!Y36</f>
        <v>100.25</v>
      </c>
      <c r="U55">
        <f>Source!P36</f>
        <v>0</v>
      </c>
      <c r="V55">
        <f>Source!S36</f>
        <v>0</v>
      </c>
      <c r="W55">
        <f>Source!Q36</f>
        <v>100.25</v>
      </c>
      <c r="X55">
        <f>Source!R36</f>
        <v>0</v>
      </c>
      <c r="Y55">
        <f>Source!U36</f>
        <v>0</v>
      </c>
      <c r="Z55">
        <f>Source!V36</f>
        <v>0</v>
      </c>
      <c r="AA55">
        <f>Source!X36</f>
        <v>0</v>
      </c>
      <c r="AB55">
        <f>Source!Y36</f>
        <v>0</v>
      </c>
    </row>
    <row r="56" spans="1:28" ht="14.25" x14ac:dyDescent="0.2">
      <c r="A56" s="49"/>
      <c r="B56" s="49"/>
      <c r="C56" s="54" t="str">
        <f>Source!H36</f>
        <v>1 Т ГРУЗА</v>
      </c>
      <c r="D56" s="52"/>
      <c r="E56" s="53">
        <f>Source!AF36</f>
        <v>0</v>
      </c>
      <c r="F56" s="53">
        <f>Source!AE36</f>
        <v>0</v>
      </c>
      <c r="G56" s="53"/>
      <c r="H56" s="53"/>
      <c r="I56" s="53">
        <f>Source!R36</f>
        <v>0</v>
      </c>
      <c r="J56" s="53">
        <f>Source!AI36</f>
        <v>0</v>
      </c>
      <c r="K56" s="53">
        <f>Source!V36</f>
        <v>0</v>
      </c>
    </row>
    <row r="57" spans="1:28" x14ac:dyDescent="0.2">
      <c r="A57" s="49"/>
      <c r="B57" s="49"/>
      <c r="C57" s="55" t="str">
        <f>"Объем: "&amp;Source!I36&amp;"=281,2*"&amp;"0,1+"&amp;""&amp;Source!I32&amp;"*"&amp;"100*"&amp;"2,4"</f>
        <v>Объем: 28,48=281,2*0,1+0,0015*100*2,4</v>
      </c>
      <c r="D57" s="49"/>
      <c r="E57" s="49"/>
      <c r="F57" s="49"/>
      <c r="G57" s="49"/>
      <c r="H57" s="49"/>
      <c r="I57" s="49"/>
      <c r="J57" s="49"/>
      <c r="K57" s="49"/>
    </row>
    <row r="58" spans="1:28" ht="57" x14ac:dyDescent="0.2">
      <c r="A58" s="50" t="str">
        <f>Source!E37</f>
        <v>6</v>
      </c>
      <c r="B58" s="50" t="str">
        <f>Source!F37</f>
        <v>пг03-21-01-005</v>
      </c>
      <c r="C58" s="51" t="str">
        <f>Source!G37</f>
        <v>Перевозка грузов автомобилями-самосвалами грузоподъемностью 10 т, работающих вне карьера, на расстояние: до 5 км I класс груза</v>
      </c>
      <c r="D58" s="52">
        <f>Source!I37</f>
        <v>184.8895</v>
      </c>
      <c r="E58" s="53">
        <f>Source!AB37</f>
        <v>6.65</v>
      </c>
      <c r="F58" s="53">
        <f>Source!AD37</f>
        <v>6.65</v>
      </c>
      <c r="G58" s="53">
        <f>Source!O37</f>
        <v>1229.52</v>
      </c>
      <c r="H58" s="53">
        <f>Source!S37</f>
        <v>0</v>
      </c>
      <c r="I58" s="53">
        <f>Source!Q37</f>
        <v>1229.52</v>
      </c>
      <c r="J58" s="53">
        <f>Source!AH37</f>
        <v>0</v>
      </c>
      <c r="K58" s="53">
        <f>Source!U37</f>
        <v>0</v>
      </c>
      <c r="T58">
        <f>Source!O37+Source!X37+Source!Y37</f>
        <v>1229.52</v>
      </c>
      <c r="U58">
        <f>Source!P37</f>
        <v>0</v>
      </c>
      <c r="V58">
        <f>Source!S37</f>
        <v>0</v>
      </c>
      <c r="W58">
        <f>Source!Q37</f>
        <v>1229.52</v>
      </c>
      <c r="X58">
        <f>Source!R37</f>
        <v>0</v>
      </c>
      <c r="Y58">
        <f>Source!U37</f>
        <v>0</v>
      </c>
      <c r="Z58">
        <f>Source!V37</f>
        <v>0</v>
      </c>
      <c r="AA58">
        <f>Source!X37</f>
        <v>0</v>
      </c>
      <c r="AB58">
        <f>Source!Y37</f>
        <v>0</v>
      </c>
    </row>
    <row r="59" spans="1:28" ht="14.25" x14ac:dyDescent="0.2">
      <c r="A59" s="49"/>
      <c r="B59" s="49"/>
      <c r="C59" s="54" t="str">
        <f>Source!H37</f>
        <v>1 Т ГРУЗА</v>
      </c>
      <c r="D59" s="52"/>
      <c r="E59" s="53">
        <f>Source!AF37</f>
        <v>0</v>
      </c>
      <c r="F59" s="53">
        <f>Source!AE37</f>
        <v>0</v>
      </c>
      <c r="G59" s="53"/>
      <c r="H59" s="53"/>
      <c r="I59" s="53">
        <f>Source!R37</f>
        <v>0</v>
      </c>
      <c r="J59" s="53">
        <f>Source!AI37</f>
        <v>0</v>
      </c>
      <c r="K59" s="53">
        <f>Source!V37</f>
        <v>0</v>
      </c>
    </row>
    <row r="60" spans="1:28" ht="25.5" x14ac:dyDescent="0.2">
      <c r="A60" s="49"/>
      <c r="B60" s="49"/>
      <c r="C60" s="55" t="str">
        <f>"Объем: "&amp;Source!I37&amp;"=(("&amp;Source!I33&amp;"*"&amp;"100*"&amp;"0,08)-"&amp;"(920,39*"&amp;"0,06*"&amp;"1,26))*"&amp;"1,8+"&amp;"("&amp;Source!I35&amp;"*"&amp;"1000*"&amp;"1,5)"</f>
        <v>Объем: 184,8895=((9,2039*100*0,08)-(920,39*0,06*1,26))*1,8+(0,1184*1000*1,5)</v>
      </c>
      <c r="D60" s="49"/>
      <c r="E60" s="49"/>
      <c r="F60" s="49"/>
      <c r="G60" s="49"/>
      <c r="H60" s="49"/>
      <c r="I60" s="49"/>
      <c r="J60" s="49"/>
      <c r="K60" s="49"/>
    </row>
    <row r="61" spans="1:28" ht="57" x14ac:dyDescent="0.2">
      <c r="A61" s="50" t="str">
        <f>Source!E38</f>
        <v>7</v>
      </c>
      <c r="B61" s="50" t="str">
        <f>Source!F38</f>
        <v>пг03-21-01-030</v>
      </c>
      <c r="C61" s="51" t="str">
        <f>Source!G38</f>
        <v>Перевозка грузов автомобилями-самосвалами грузоподъемностью 10 т, работающих вне карьера, на расстояние: до 30 км I класс груза</v>
      </c>
      <c r="D61" s="52">
        <f>Source!I38</f>
        <v>28.48</v>
      </c>
      <c r="E61" s="53">
        <f>Source!AB38</f>
        <v>19.170000000000002</v>
      </c>
      <c r="F61" s="53">
        <f>Source!AD38</f>
        <v>19.170000000000002</v>
      </c>
      <c r="G61" s="53">
        <f>Source!O38</f>
        <v>545.96</v>
      </c>
      <c r="H61" s="53">
        <f>Source!S38</f>
        <v>0</v>
      </c>
      <c r="I61" s="53">
        <f>Source!Q38</f>
        <v>545.96</v>
      </c>
      <c r="J61" s="53">
        <f>Source!AH38</f>
        <v>0</v>
      </c>
      <c r="K61" s="53">
        <f>Source!U38</f>
        <v>0</v>
      </c>
      <c r="T61">
        <f>Source!O38+Source!X38+Source!Y38</f>
        <v>545.96</v>
      </c>
      <c r="U61">
        <f>Source!P38</f>
        <v>0</v>
      </c>
      <c r="V61">
        <f>Source!S38</f>
        <v>0</v>
      </c>
      <c r="W61">
        <f>Source!Q38</f>
        <v>545.96</v>
      </c>
      <c r="X61">
        <f>Source!R38</f>
        <v>0</v>
      </c>
      <c r="Y61">
        <f>Source!U38</f>
        <v>0</v>
      </c>
      <c r="Z61">
        <f>Source!V38</f>
        <v>0</v>
      </c>
      <c r="AA61">
        <f>Source!X38</f>
        <v>0</v>
      </c>
      <c r="AB61">
        <f>Source!Y38</f>
        <v>0</v>
      </c>
    </row>
    <row r="62" spans="1:28" ht="14.25" x14ac:dyDescent="0.2">
      <c r="A62" s="49"/>
      <c r="B62" s="49"/>
      <c r="C62" s="54" t="str">
        <f>Source!H38</f>
        <v>1 Т ГРУЗА</v>
      </c>
      <c r="D62" s="52"/>
      <c r="E62" s="53">
        <f>Source!AF38</f>
        <v>0</v>
      </c>
      <c r="F62" s="53">
        <f>Source!AE38</f>
        <v>0</v>
      </c>
      <c r="G62" s="53"/>
      <c r="H62" s="53"/>
      <c r="I62" s="53">
        <f>Source!R38</f>
        <v>0</v>
      </c>
      <c r="J62" s="53">
        <f>Source!AI38</f>
        <v>0</v>
      </c>
      <c r="K62" s="53">
        <f>Source!V38</f>
        <v>0</v>
      </c>
    </row>
    <row r="63" spans="1:28" x14ac:dyDescent="0.2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28" ht="15" x14ac:dyDescent="0.25">
      <c r="A64" s="59"/>
      <c r="B64" s="59"/>
      <c r="C64" s="70" t="str">
        <f>CONCATENATE("Итого по подразделу: ",IF(Source!G40&lt;&gt;"Новый подраздел", Source!G40, ""))</f>
        <v>Итого по подразделу: Расчистка территории</v>
      </c>
      <c r="D64" s="70"/>
      <c r="E64" s="70"/>
      <c r="F64" s="70"/>
      <c r="G64" s="60">
        <f>IF(SUM(T25:T63)=0, "-", SUM(T25:T63))</f>
        <v>15597.75</v>
      </c>
      <c r="H64" s="60">
        <f>IF(SUM(V25:V63)=0, "-", SUM(V25:V63))</f>
        <v>1382.29</v>
      </c>
      <c r="I64" s="60">
        <f>IF(SUM(W25:W63)=0, "-", SUM(W25:W63))</f>
        <v>11221.57</v>
      </c>
      <c r="J64" s="60"/>
      <c r="K64" s="60">
        <f>IF(SUM(Y25:Y63)=0, "-", SUM(Y25:Y63))</f>
        <v>196.80076199999999</v>
      </c>
    </row>
    <row r="65" spans="1:28" ht="15" x14ac:dyDescent="0.25">
      <c r="A65" s="59"/>
      <c r="B65" s="59"/>
      <c r="C65" s="59"/>
      <c r="D65" s="59"/>
      <c r="E65" s="59"/>
      <c r="F65" s="59"/>
      <c r="G65" s="60"/>
      <c r="H65" s="60"/>
      <c r="I65" s="60">
        <f>IF(SUM(X25:X63)=0, "-", SUM(X25:X63))</f>
        <v>400.81</v>
      </c>
      <c r="J65" s="60"/>
      <c r="K65" s="60">
        <f>IF(SUM(Z25:Z63)=0, "-", SUM(Z25:Z63))</f>
        <v>37.580503999999998</v>
      </c>
    </row>
    <row r="66" spans="1:28" x14ac:dyDescent="0.2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</row>
    <row r="67" spans="1:28" x14ac:dyDescent="0.2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</row>
    <row r="68" spans="1:28" x14ac:dyDescent="0.2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</row>
    <row r="69" spans="1:28" ht="16.5" x14ac:dyDescent="0.25">
      <c r="A69" s="75" t="str">
        <f>CONCATENATE("Подраздел: ",IF(Source!G70&lt;&gt;"Новый подраздел", Source!G70, ""))</f>
        <v>Подраздел: Дворовой проезд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</row>
    <row r="70" spans="1:28" ht="16.5" x14ac:dyDescent="0.25">
      <c r="A70" s="75" t="str">
        <f>CONCATENATE("Подраздел: ",IF(Source!G104&lt;&gt;"Новый подраздел", Source!G104, ""))</f>
        <v>Подраздел: Асфальт S=1092,55м2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</row>
    <row r="71" spans="1:28" ht="42.75" x14ac:dyDescent="0.2">
      <c r="A71" s="50" t="str">
        <f>Source!E108</f>
        <v>8</v>
      </c>
      <c r="B71" s="50" t="str">
        <f>Source!F108</f>
        <v>27-04-001-1</v>
      </c>
      <c r="C71" s="51" t="str">
        <f>Source!G108</f>
        <v>Устройство подстилающих и выравнивающих слоев оснований: из песка</v>
      </c>
      <c r="D71" s="52">
        <f>Source!I108</f>
        <v>0.17219999999999999</v>
      </c>
      <c r="E71" s="53">
        <f>Source!AB108</f>
        <v>2805.01</v>
      </c>
      <c r="F71" s="53">
        <f>Source!AD108</f>
        <v>2675.85</v>
      </c>
      <c r="G71" s="53">
        <f>Source!O108</f>
        <v>483.03</v>
      </c>
      <c r="H71" s="53">
        <f>Source!S108</f>
        <v>20.3</v>
      </c>
      <c r="I71" s="53">
        <f>Source!Q108</f>
        <v>460.78</v>
      </c>
      <c r="J71" s="53">
        <f>Source!AH108</f>
        <v>18.077999999999999</v>
      </c>
      <c r="K71" s="53">
        <f>Source!U108</f>
        <v>3.1130315999999998</v>
      </c>
      <c r="T71">
        <f>Source!O108+Source!X108+Source!Y108</f>
        <v>611.96</v>
      </c>
      <c r="U71">
        <f>Source!P108</f>
        <v>1.95</v>
      </c>
      <c r="V71">
        <f>Source!S108</f>
        <v>20.3</v>
      </c>
      <c r="W71">
        <f>Source!Q108</f>
        <v>460.78</v>
      </c>
      <c r="X71">
        <f>Source!R108</f>
        <v>37.520000000000003</v>
      </c>
      <c r="Y71">
        <f>Source!U108</f>
        <v>3.1130315999999998</v>
      </c>
      <c r="Z71">
        <f>Source!V108</f>
        <v>2.98767</v>
      </c>
      <c r="AA71">
        <f>Source!X108</f>
        <v>82.1</v>
      </c>
      <c r="AB71">
        <f>Source!Y108</f>
        <v>46.83</v>
      </c>
    </row>
    <row r="72" spans="1:28" ht="28.5" x14ac:dyDescent="0.2">
      <c r="A72" s="49"/>
      <c r="B72" s="49"/>
      <c r="C72" s="54" t="str">
        <f>Source!H108</f>
        <v>100 м3 материала основания (в плотном теле)</v>
      </c>
      <c r="D72" s="52"/>
      <c r="E72" s="53">
        <f>Source!AF108</f>
        <v>117.86</v>
      </c>
      <c r="F72" s="53">
        <f>Source!AE108</f>
        <v>217.91</v>
      </c>
      <c r="G72" s="53"/>
      <c r="H72" s="53"/>
      <c r="I72" s="53">
        <f>Source!R108</f>
        <v>37.520000000000003</v>
      </c>
      <c r="J72" s="53">
        <f>Source!AI108</f>
        <v>17.350000000000001</v>
      </c>
      <c r="K72" s="53">
        <f>Source!V108</f>
        <v>2.98767</v>
      </c>
    </row>
    <row r="73" spans="1:28" x14ac:dyDescent="0.2">
      <c r="A73" s="49"/>
      <c r="B73" s="49"/>
      <c r="C73" s="55" t="str">
        <f>"Объем: "&amp;Source!I108&amp;"=(172,16*"&amp;"0,1)/"&amp;"100"</f>
        <v>Объем: 0,1722=(172,16*0,1)/100</v>
      </c>
      <c r="D73" s="49"/>
      <c r="E73" s="49"/>
      <c r="F73" s="49"/>
      <c r="G73" s="49"/>
      <c r="H73" s="49"/>
      <c r="I73" s="49"/>
      <c r="J73" s="49"/>
      <c r="K73" s="49"/>
    </row>
    <row r="74" spans="1:28" x14ac:dyDescent="0.2">
      <c r="A74" s="49"/>
      <c r="B74" s="49"/>
      <c r="C74" s="55" t="s">
        <v>614</v>
      </c>
      <c r="D74" s="74" t="s">
        <v>12</v>
      </c>
      <c r="E74" s="74"/>
      <c r="F74" s="74"/>
      <c r="G74" s="74"/>
      <c r="H74" s="74"/>
      <c r="I74" s="74"/>
      <c r="J74" s="74"/>
      <c r="K74" s="74"/>
    </row>
    <row r="75" spans="1:28" x14ac:dyDescent="0.2">
      <c r="A75" s="49"/>
      <c r="B75" s="49"/>
      <c r="C75" s="55" t="s">
        <v>615</v>
      </c>
      <c r="D75" s="74" t="s">
        <v>12</v>
      </c>
      <c r="E75" s="74"/>
      <c r="F75" s="74"/>
      <c r="G75" s="74"/>
      <c r="H75" s="74"/>
      <c r="I75" s="74"/>
      <c r="J75" s="74"/>
      <c r="K75" s="74"/>
    </row>
    <row r="76" spans="1:28" x14ac:dyDescent="0.2">
      <c r="A76" s="49"/>
      <c r="B76" s="49"/>
      <c r="C76" s="55" t="s">
        <v>616</v>
      </c>
      <c r="D76" s="74" t="s">
        <v>13</v>
      </c>
      <c r="E76" s="74"/>
      <c r="F76" s="74"/>
      <c r="G76" s="74"/>
      <c r="H76" s="74"/>
      <c r="I76" s="74"/>
      <c r="J76" s="74"/>
      <c r="K76" s="74"/>
    </row>
    <row r="77" spans="1:28" x14ac:dyDescent="0.2">
      <c r="A77" s="49"/>
      <c r="B77" s="49"/>
      <c r="C77" s="55" t="s">
        <v>617</v>
      </c>
      <c r="D77" s="74" t="s">
        <v>13</v>
      </c>
      <c r="E77" s="74"/>
      <c r="F77" s="74"/>
      <c r="G77" s="74"/>
      <c r="H77" s="74"/>
      <c r="I77" s="74"/>
      <c r="J77" s="74"/>
      <c r="K77" s="74"/>
    </row>
    <row r="78" spans="1:28" x14ac:dyDescent="0.2">
      <c r="A78" s="49"/>
      <c r="B78" s="49"/>
      <c r="C78" s="55" t="s">
        <v>618</v>
      </c>
      <c r="D78" s="74" t="s">
        <v>12</v>
      </c>
      <c r="E78" s="74"/>
      <c r="F78" s="74"/>
      <c r="G78" s="74"/>
      <c r="H78" s="74"/>
      <c r="I78" s="74"/>
      <c r="J78" s="74"/>
      <c r="K78" s="74"/>
    </row>
    <row r="79" spans="1:28" x14ac:dyDescent="0.2">
      <c r="A79" s="49"/>
      <c r="B79" s="49"/>
      <c r="C79" s="56" t="s">
        <v>611</v>
      </c>
      <c r="D79" s="57">
        <f>Source!BZ108</f>
        <v>142</v>
      </c>
      <c r="E79" s="58">
        <f>(Source!AF108+Source!AE108)*Source!FX108/100</f>
        <v>476.79339999999996</v>
      </c>
      <c r="F79" s="57"/>
      <c r="G79" s="58">
        <f>Source!X108</f>
        <v>82.1</v>
      </c>
      <c r="H79" s="57" t="str">
        <f>CONCATENATE(Source!AT108)</f>
        <v>142</v>
      </c>
      <c r="I79" s="57"/>
      <c r="J79" s="57"/>
      <c r="K79" s="57"/>
    </row>
    <row r="80" spans="1:28" x14ac:dyDescent="0.2">
      <c r="A80" s="49"/>
      <c r="B80" s="49"/>
      <c r="C80" s="56" t="s">
        <v>612</v>
      </c>
      <c r="D80" s="57">
        <f>Source!CA108</f>
        <v>95</v>
      </c>
      <c r="E80" s="58">
        <f>(Source!AF108+Source!AE108)*Source!FY108/100</f>
        <v>271.134275</v>
      </c>
      <c r="F80" s="57" t="str">
        <f>CONCATENATE(Source!DM108,Source!FU108, "=", Source!FY108, "%")</f>
        <v>*0,85=80,75%</v>
      </c>
      <c r="G80" s="58">
        <f>Source!Y108</f>
        <v>46.83</v>
      </c>
      <c r="H80" s="57" t="str">
        <f>CONCATENATE(Source!AU108)</f>
        <v>81</v>
      </c>
      <c r="I80" s="57"/>
      <c r="J80" s="57"/>
      <c r="K80" s="57"/>
    </row>
    <row r="81" spans="1:28" x14ac:dyDescent="0.2">
      <c r="A81" s="49"/>
      <c r="B81" s="49"/>
      <c r="C81" s="56" t="s">
        <v>613</v>
      </c>
      <c r="D81" s="57"/>
      <c r="E81" s="58">
        <f>((Source!AF108+Source!AE108)*Source!FX108/100)+((Source!AF108+Source!AE108)*Source!FY108/100)+Source!AB108</f>
        <v>3552.9376750000001</v>
      </c>
      <c r="F81" s="57"/>
      <c r="G81" s="58">
        <f>Source!O108+Source!X108+Source!Y108</f>
        <v>611.96</v>
      </c>
      <c r="H81" s="57"/>
      <c r="I81" s="57"/>
      <c r="J81" s="57"/>
      <c r="K81" s="57"/>
    </row>
    <row r="82" spans="1:28" ht="28.5" x14ac:dyDescent="0.2">
      <c r="A82" s="50" t="str">
        <f>Source!E109</f>
        <v>8,1</v>
      </c>
      <c r="B82" s="50" t="str">
        <f>Source!F109</f>
        <v>408-0122</v>
      </c>
      <c r="C82" s="51" t="str">
        <f>Source!G109</f>
        <v>Песок природный для строительных работ средний</v>
      </c>
      <c r="D82" s="52">
        <f>Source!I109</f>
        <v>18.942</v>
      </c>
      <c r="E82" s="53">
        <f>Source!AB109</f>
        <v>51.17</v>
      </c>
      <c r="F82" s="53">
        <f>Source!AD109</f>
        <v>0</v>
      </c>
      <c r="G82" s="53">
        <f>Source!O109</f>
        <v>969.26</v>
      </c>
      <c r="H82" s="53">
        <f>Source!S109</f>
        <v>0</v>
      </c>
      <c r="I82" s="53">
        <f>Source!Q109</f>
        <v>0</v>
      </c>
      <c r="J82" s="53">
        <f>Source!AH109</f>
        <v>0</v>
      </c>
      <c r="K82" s="53">
        <f>Source!U109</f>
        <v>0</v>
      </c>
      <c r="T82">
        <f>Source!O109+Source!X109+Source!Y109</f>
        <v>969.26</v>
      </c>
      <c r="U82">
        <f>Source!P109</f>
        <v>969.26</v>
      </c>
      <c r="V82">
        <f>Source!S109</f>
        <v>0</v>
      </c>
      <c r="W82">
        <f>Source!Q109</f>
        <v>0</v>
      </c>
      <c r="X82">
        <f>Source!R109</f>
        <v>0</v>
      </c>
      <c r="Y82">
        <f>Source!U109</f>
        <v>0</v>
      </c>
      <c r="Z82">
        <f>Source!V109</f>
        <v>0</v>
      </c>
      <c r="AA82">
        <f>Source!X109</f>
        <v>0</v>
      </c>
      <c r="AB82">
        <f>Source!Y109</f>
        <v>0</v>
      </c>
    </row>
    <row r="83" spans="1:28" ht="14.25" x14ac:dyDescent="0.2">
      <c r="A83" s="49"/>
      <c r="B83" s="49"/>
      <c r="C83" s="54" t="str">
        <f>Source!H109</f>
        <v>м3</v>
      </c>
      <c r="D83" s="52"/>
      <c r="E83" s="53">
        <f>Source!AF109</f>
        <v>0</v>
      </c>
      <c r="F83" s="53">
        <f>Source!AE109</f>
        <v>0</v>
      </c>
      <c r="G83" s="53"/>
      <c r="H83" s="53"/>
      <c r="I83" s="53">
        <f>Source!R109</f>
        <v>0</v>
      </c>
      <c r="J83" s="53">
        <f>Source!AI109</f>
        <v>0</v>
      </c>
      <c r="K83" s="53">
        <f>Source!V109</f>
        <v>0</v>
      </c>
    </row>
    <row r="84" spans="1:28" ht="42.75" x14ac:dyDescent="0.2">
      <c r="A84" s="50" t="str">
        <f>Source!E110</f>
        <v>9</v>
      </c>
      <c r="B84" s="50" t="str">
        <f>Source!F110</f>
        <v>27-04-001-4</v>
      </c>
      <c r="C84" s="51" t="str">
        <f>Source!G110</f>
        <v>Устройство подстилающих и выравнивающих слоев оснований: из асфальтогранулята</v>
      </c>
      <c r="D84" s="52">
        <f>Source!I110</f>
        <v>0.55220000000000002</v>
      </c>
      <c r="E84" s="53">
        <f>Source!AB110</f>
        <v>4369.42</v>
      </c>
      <c r="F84" s="53">
        <f>Source!AD110</f>
        <v>4170.55</v>
      </c>
      <c r="G84" s="53">
        <f>Source!O110</f>
        <v>2412.8000000000002</v>
      </c>
      <c r="H84" s="53">
        <f>Source!S110</f>
        <v>101.08</v>
      </c>
      <c r="I84" s="53">
        <f>Source!Q110</f>
        <v>2302.98</v>
      </c>
      <c r="J84" s="53">
        <f>Source!AH110</f>
        <v>27.8185</v>
      </c>
      <c r="K84" s="53">
        <f>Source!U110</f>
        <v>15.3613757</v>
      </c>
      <c r="T84">
        <f>Source!O110+Source!X110+Source!Y110</f>
        <v>3059.3</v>
      </c>
      <c r="U84">
        <f>Source!P110</f>
        <v>8.74</v>
      </c>
      <c r="V84">
        <f>Source!S110</f>
        <v>101.08</v>
      </c>
      <c r="W84">
        <f>Source!Q110</f>
        <v>2302.98</v>
      </c>
      <c r="X84">
        <f>Source!R110</f>
        <v>188.83</v>
      </c>
      <c r="Y84">
        <f>Source!U110</f>
        <v>15.3613757</v>
      </c>
      <c r="Z84">
        <f>Source!V110</f>
        <v>14.219150000000001</v>
      </c>
      <c r="AA84">
        <f>Source!X110</f>
        <v>411.67</v>
      </c>
      <c r="AB84">
        <f>Source!Y110</f>
        <v>234.83</v>
      </c>
    </row>
    <row r="85" spans="1:28" ht="28.5" x14ac:dyDescent="0.2">
      <c r="A85" s="49"/>
      <c r="B85" s="49"/>
      <c r="C85" s="54" t="str">
        <f>Source!H110</f>
        <v>100 м3 материала основания (в плотном теле)</v>
      </c>
      <c r="D85" s="52"/>
      <c r="E85" s="53">
        <f>Source!AF110</f>
        <v>183.05</v>
      </c>
      <c r="F85" s="53">
        <f>Source!AE110</f>
        <v>341.96</v>
      </c>
      <c r="G85" s="53"/>
      <c r="H85" s="53"/>
      <c r="I85" s="53">
        <f>Source!R110</f>
        <v>188.83</v>
      </c>
      <c r="J85" s="53">
        <f>Source!AI110</f>
        <v>25.75</v>
      </c>
      <c r="K85" s="53">
        <f>Source!V110</f>
        <v>14.219150000000001</v>
      </c>
    </row>
    <row r="86" spans="1:28" x14ac:dyDescent="0.2">
      <c r="A86" s="49"/>
      <c r="B86" s="49"/>
      <c r="C86" s="55" t="str">
        <f>"Объем: "&amp;Source!I110&amp;"=(920,39*"&amp;"0,06)/"&amp;"100"</f>
        <v>Объем: 0,5522=(920,39*0,06)/100</v>
      </c>
      <c r="D86" s="49"/>
      <c r="E86" s="49"/>
      <c r="F86" s="49"/>
      <c r="G86" s="49"/>
      <c r="H86" s="49"/>
      <c r="I86" s="49"/>
      <c r="J86" s="49"/>
      <c r="K86" s="49"/>
    </row>
    <row r="87" spans="1:28" x14ac:dyDescent="0.2">
      <c r="A87" s="49"/>
      <c r="B87" s="49"/>
      <c r="C87" s="55" t="s">
        <v>614</v>
      </c>
      <c r="D87" s="74" t="s">
        <v>12</v>
      </c>
      <c r="E87" s="74"/>
      <c r="F87" s="74"/>
      <c r="G87" s="74"/>
      <c r="H87" s="74"/>
      <c r="I87" s="74"/>
      <c r="J87" s="74"/>
      <c r="K87" s="74"/>
    </row>
    <row r="88" spans="1:28" x14ac:dyDescent="0.2">
      <c r="A88" s="49"/>
      <c r="B88" s="49"/>
      <c r="C88" s="55" t="s">
        <v>615</v>
      </c>
      <c r="D88" s="74" t="s">
        <v>12</v>
      </c>
      <c r="E88" s="74"/>
      <c r="F88" s="74"/>
      <c r="G88" s="74"/>
      <c r="H88" s="74"/>
      <c r="I88" s="74"/>
      <c r="J88" s="74"/>
      <c r="K88" s="74"/>
    </row>
    <row r="89" spans="1:28" x14ac:dyDescent="0.2">
      <c r="A89" s="49"/>
      <c r="B89" s="49"/>
      <c r="C89" s="55" t="s">
        <v>616</v>
      </c>
      <c r="D89" s="74" t="s">
        <v>13</v>
      </c>
      <c r="E89" s="74"/>
      <c r="F89" s="74"/>
      <c r="G89" s="74"/>
      <c r="H89" s="74"/>
      <c r="I89" s="74"/>
      <c r="J89" s="74"/>
      <c r="K89" s="74"/>
    </row>
    <row r="90" spans="1:28" x14ac:dyDescent="0.2">
      <c r="A90" s="49"/>
      <c r="B90" s="49"/>
      <c r="C90" s="55" t="s">
        <v>617</v>
      </c>
      <c r="D90" s="74" t="s">
        <v>13</v>
      </c>
      <c r="E90" s="74"/>
      <c r="F90" s="74"/>
      <c r="G90" s="74"/>
      <c r="H90" s="74"/>
      <c r="I90" s="74"/>
      <c r="J90" s="74"/>
      <c r="K90" s="74"/>
    </row>
    <row r="91" spans="1:28" x14ac:dyDescent="0.2">
      <c r="A91" s="49"/>
      <c r="B91" s="49"/>
      <c r="C91" s="55" t="s">
        <v>618</v>
      </c>
      <c r="D91" s="74" t="s">
        <v>12</v>
      </c>
      <c r="E91" s="74"/>
      <c r="F91" s="74"/>
      <c r="G91" s="74"/>
      <c r="H91" s="74"/>
      <c r="I91" s="74"/>
      <c r="J91" s="74"/>
      <c r="K91" s="74"/>
    </row>
    <row r="92" spans="1:28" x14ac:dyDescent="0.2">
      <c r="A92" s="49"/>
      <c r="B92" s="49"/>
      <c r="C92" s="56" t="s">
        <v>611</v>
      </c>
      <c r="D92" s="57">
        <f>Source!BZ110</f>
        <v>142</v>
      </c>
      <c r="E92" s="58">
        <f>(Source!AF110+Source!AE110)*Source!FX110/100</f>
        <v>745.51419999999996</v>
      </c>
      <c r="F92" s="57"/>
      <c r="G92" s="58">
        <f>Source!X110</f>
        <v>411.67</v>
      </c>
      <c r="H92" s="57" t="str">
        <f>CONCATENATE(Source!AT110)</f>
        <v>142</v>
      </c>
      <c r="I92" s="57"/>
      <c r="J92" s="57"/>
      <c r="K92" s="57"/>
    </row>
    <row r="93" spans="1:28" x14ac:dyDescent="0.2">
      <c r="A93" s="49"/>
      <c r="B93" s="49"/>
      <c r="C93" s="56" t="s">
        <v>612</v>
      </c>
      <c r="D93" s="57">
        <f>Source!CA110</f>
        <v>95</v>
      </c>
      <c r="E93" s="58">
        <f>(Source!AF110+Source!AE110)*Source!FY110/100</f>
        <v>423.94557500000002</v>
      </c>
      <c r="F93" s="57" t="str">
        <f>CONCATENATE(Source!DM110,Source!FU110, "=", Source!FY110, "%")</f>
        <v>*0,85=80,75%</v>
      </c>
      <c r="G93" s="58">
        <f>Source!Y110</f>
        <v>234.83</v>
      </c>
      <c r="H93" s="57" t="str">
        <f>CONCATENATE(Source!AU110)</f>
        <v>81</v>
      </c>
      <c r="I93" s="57"/>
      <c r="J93" s="57"/>
      <c r="K93" s="57"/>
    </row>
    <row r="94" spans="1:28" x14ac:dyDescent="0.2">
      <c r="A94" s="49"/>
      <c r="B94" s="49"/>
      <c r="C94" s="56" t="s">
        <v>613</v>
      </c>
      <c r="D94" s="57"/>
      <c r="E94" s="58">
        <f>((Source!AF110+Source!AE110)*Source!FX110/100)+((Source!AF110+Source!AE110)*Source!FY110/100)+Source!AB110</f>
        <v>5538.8797750000003</v>
      </c>
      <c r="F94" s="57"/>
      <c r="G94" s="58">
        <f>Source!O110+Source!X110+Source!Y110</f>
        <v>3059.3</v>
      </c>
      <c r="H94" s="57"/>
      <c r="I94" s="57"/>
      <c r="J94" s="57"/>
      <c r="K94" s="57"/>
    </row>
    <row r="95" spans="1:28" ht="42.75" x14ac:dyDescent="0.2">
      <c r="A95" s="50" t="str">
        <f>Source!E111</f>
        <v>10</v>
      </c>
      <c r="B95" s="50" t="str">
        <f>Source!F111</f>
        <v>27-04-001-4</v>
      </c>
      <c r="C95" s="51" t="str">
        <f>Source!G111</f>
        <v>Устройство подстилающих и выравнивающих слоев оснований: из щебня</v>
      </c>
      <c r="D95" s="52">
        <f>Source!I111</f>
        <v>0.1033</v>
      </c>
      <c r="E95" s="53">
        <f>Source!AB111</f>
        <v>4369.42</v>
      </c>
      <c r="F95" s="53">
        <f>Source!AD111</f>
        <v>4170.55</v>
      </c>
      <c r="G95" s="53">
        <f>Source!O111</f>
        <v>451.36</v>
      </c>
      <c r="H95" s="53">
        <f>Source!S111</f>
        <v>18.91</v>
      </c>
      <c r="I95" s="53">
        <f>Source!Q111</f>
        <v>430.82</v>
      </c>
      <c r="J95" s="53">
        <f>Source!AH111</f>
        <v>27.8185</v>
      </c>
      <c r="K95" s="53">
        <f>Source!U111</f>
        <v>2.8736510500000003</v>
      </c>
      <c r="T95">
        <f>Source!O111+Source!X111+Source!Y111</f>
        <v>572.29999999999995</v>
      </c>
      <c r="U95">
        <f>Source!P111</f>
        <v>1.63</v>
      </c>
      <c r="V95">
        <f>Source!S111</f>
        <v>18.91</v>
      </c>
      <c r="W95">
        <f>Source!Q111</f>
        <v>430.82</v>
      </c>
      <c r="X95">
        <f>Source!R111</f>
        <v>35.32</v>
      </c>
      <c r="Y95">
        <f>Source!U111</f>
        <v>2.8736510500000003</v>
      </c>
      <c r="Z95">
        <f>Source!V111</f>
        <v>2.6599750000000002</v>
      </c>
      <c r="AA95">
        <f>Source!X111</f>
        <v>77.010000000000005</v>
      </c>
      <c r="AB95">
        <f>Source!Y111</f>
        <v>43.93</v>
      </c>
    </row>
    <row r="96" spans="1:28" ht="28.5" x14ac:dyDescent="0.2">
      <c r="A96" s="49"/>
      <c r="B96" s="49"/>
      <c r="C96" s="54" t="str">
        <f>Source!H111</f>
        <v>100 м3 материала основания (в плотном теле)</v>
      </c>
      <c r="D96" s="52"/>
      <c r="E96" s="53">
        <f>Source!AF111</f>
        <v>183.05</v>
      </c>
      <c r="F96" s="53">
        <f>Source!AE111</f>
        <v>341.96</v>
      </c>
      <c r="G96" s="53"/>
      <c r="H96" s="53"/>
      <c r="I96" s="53">
        <f>Source!R111</f>
        <v>35.32</v>
      </c>
      <c r="J96" s="53">
        <f>Source!AI111</f>
        <v>25.75</v>
      </c>
      <c r="K96" s="53">
        <f>Source!V111</f>
        <v>2.6599750000000002</v>
      </c>
    </row>
    <row r="97" spans="1:28" x14ac:dyDescent="0.2">
      <c r="A97" s="49"/>
      <c r="B97" s="49"/>
      <c r="C97" s="55" t="str">
        <f>"Объем: "&amp;Source!I111&amp;"=(172,16*"&amp;"0,06)/"&amp;"100"</f>
        <v>Объем: 0,1033=(172,16*0,06)/100</v>
      </c>
      <c r="D97" s="49"/>
      <c r="E97" s="49"/>
      <c r="F97" s="49"/>
      <c r="G97" s="49"/>
      <c r="H97" s="49"/>
      <c r="I97" s="49"/>
      <c r="J97" s="49"/>
      <c r="K97" s="49"/>
    </row>
    <row r="98" spans="1:28" x14ac:dyDescent="0.2">
      <c r="A98" s="49"/>
      <c r="B98" s="49"/>
      <c r="C98" s="55" t="s">
        <v>614</v>
      </c>
      <c r="D98" s="74" t="s">
        <v>138</v>
      </c>
      <c r="E98" s="74"/>
      <c r="F98" s="74"/>
      <c r="G98" s="74"/>
      <c r="H98" s="74"/>
      <c r="I98" s="74"/>
      <c r="J98" s="74"/>
      <c r="K98" s="74"/>
    </row>
    <row r="99" spans="1:28" x14ac:dyDescent="0.2">
      <c r="A99" s="49"/>
      <c r="B99" s="49"/>
      <c r="C99" s="55" t="s">
        <v>615</v>
      </c>
      <c r="D99" s="74" t="s">
        <v>138</v>
      </c>
      <c r="E99" s="74"/>
      <c r="F99" s="74"/>
      <c r="G99" s="74"/>
      <c r="H99" s="74"/>
      <c r="I99" s="74"/>
      <c r="J99" s="74"/>
      <c r="K99" s="74"/>
    </row>
    <row r="100" spans="1:28" x14ac:dyDescent="0.2">
      <c r="A100" s="49"/>
      <c r="B100" s="49"/>
      <c r="C100" s="55" t="s">
        <v>616</v>
      </c>
      <c r="D100" s="74" t="s">
        <v>139</v>
      </c>
      <c r="E100" s="74"/>
      <c r="F100" s="74"/>
      <c r="G100" s="74"/>
      <c r="H100" s="74"/>
      <c r="I100" s="74"/>
      <c r="J100" s="74"/>
      <c r="K100" s="74"/>
    </row>
    <row r="101" spans="1:28" x14ac:dyDescent="0.2">
      <c r="A101" s="49"/>
      <c r="B101" s="49"/>
      <c r="C101" s="55" t="s">
        <v>617</v>
      </c>
      <c r="D101" s="74" t="s">
        <v>139</v>
      </c>
      <c r="E101" s="74"/>
      <c r="F101" s="74"/>
      <c r="G101" s="74"/>
      <c r="H101" s="74"/>
      <c r="I101" s="74"/>
      <c r="J101" s="74"/>
      <c r="K101" s="74"/>
    </row>
    <row r="102" spans="1:28" x14ac:dyDescent="0.2">
      <c r="A102" s="49"/>
      <c r="B102" s="49"/>
      <c r="C102" s="55" t="s">
        <v>618</v>
      </c>
      <c r="D102" s="74" t="s">
        <v>138</v>
      </c>
      <c r="E102" s="74"/>
      <c r="F102" s="74"/>
      <c r="G102" s="74"/>
      <c r="H102" s="74"/>
      <c r="I102" s="74"/>
      <c r="J102" s="74"/>
      <c r="K102" s="74"/>
    </row>
    <row r="103" spans="1:28" x14ac:dyDescent="0.2">
      <c r="A103" s="49"/>
      <c r="B103" s="49"/>
      <c r="C103" s="56" t="s">
        <v>611</v>
      </c>
      <c r="D103" s="57">
        <f>Source!BZ111</f>
        <v>142</v>
      </c>
      <c r="E103" s="58">
        <f>(Source!AF111+Source!AE111)*Source!FX111/100</f>
        <v>745.51419999999996</v>
      </c>
      <c r="F103" s="57"/>
      <c r="G103" s="58">
        <f>Source!X111</f>
        <v>77.010000000000005</v>
      </c>
      <c r="H103" s="57" t="str">
        <f>CONCATENATE(Source!AT111)</f>
        <v>142</v>
      </c>
      <c r="I103" s="57"/>
      <c r="J103" s="57"/>
      <c r="K103" s="57"/>
    </row>
    <row r="104" spans="1:28" x14ac:dyDescent="0.2">
      <c r="A104" s="49"/>
      <c r="B104" s="49"/>
      <c r="C104" s="56" t="s">
        <v>612</v>
      </c>
      <c r="D104" s="57">
        <f>Source!CA111</f>
        <v>95</v>
      </c>
      <c r="E104" s="58">
        <f>(Source!AF111+Source!AE111)*Source!FY111/100</f>
        <v>423.94557500000002</v>
      </c>
      <c r="F104" s="57" t="str">
        <f>CONCATENATE(Source!DM111,Source!FU111, "=", Source!FY111, "%")</f>
        <v>*0,85=80,75%</v>
      </c>
      <c r="G104" s="58">
        <f>Source!Y111</f>
        <v>43.93</v>
      </c>
      <c r="H104" s="57" t="str">
        <f>CONCATENATE(Source!AU111)</f>
        <v>81</v>
      </c>
      <c r="I104" s="57"/>
      <c r="J104" s="57"/>
      <c r="K104" s="57"/>
    </row>
    <row r="105" spans="1:28" x14ac:dyDescent="0.2">
      <c r="A105" s="49"/>
      <c r="B105" s="49"/>
      <c r="C105" s="56" t="s">
        <v>613</v>
      </c>
      <c r="D105" s="57"/>
      <c r="E105" s="58">
        <f>((Source!AF111+Source!AE111)*Source!FX111/100)+((Source!AF111+Source!AE111)*Source!FY111/100)+Source!AB111</f>
        <v>5538.8797750000003</v>
      </c>
      <c r="F105" s="57"/>
      <c r="G105" s="58">
        <f>Source!O111+Source!X111+Source!Y111</f>
        <v>572.29999999999995</v>
      </c>
      <c r="H105" s="57"/>
      <c r="I105" s="57"/>
      <c r="J105" s="57"/>
      <c r="K105" s="57"/>
    </row>
    <row r="106" spans="1:28" ht="42.75" x14ac:dyDescent="0.2">
      <c r="A106" s="50" t="str">
        <f>Source!E112</f>
        <v>10,1</v>
      </c>
      <c r="B106" s="50" t="str">
        <f>Source!F112</f>
        <v>408-0057</v>
      </c>
      <c r="C106" s="51" t="str">
        <f>Source!G112</f>
        <v>Щебень из природного камня для строительных работ марка 600, фракция 5 (3)-20 мм</v>
      </c>
      <c r="D106" s="52">
        <f>Source!I112</f>
        <v>13.0158</v>
      </c>
      <c r="E106" s="53">
        <f>Source!AB112</f>
        <v>127.2</v>
      </c>
      <c r="F106" s="53">
        <f>Source!AD112</f>
        <v>0</v>
      </c>
      <c r="G106" s="53">
        <f>Source!O112</f>
        <v>1655.61</v>
      </c>
      <c r="H106" s="53">
        <f>Source!S112</f>
        <v>0</v>
      </c>
      <c r="I106" s="53">
        <f>Source!Q112</f>
        <v>0</v>
      </c>
      <c r="J106" s="53">
        <f>Source!AH112</f>
        <v>0</v>
      </c>
      <c r="K106" s="53">
        <f>Source!U112</f>
        <v>0</v>
      </c>
      <c r="T106">
        <f>Source!O112+Source!X112+Source!Y112</f>
        <v>1655.61</v>
      </c>
      <c r="U106">
        <f>Source!P112</f>
        <v>1655.61</v>
      </c>
      <c r="V106">
        <f>Source!S112</f>
        <v>0</v>
      </c>
      <c r="W106">
        <f>Source!Q112</f>
        <v>0</v>
      </c>
      <c r="X106">
        <f>Source!R112</f>
        <v>0</v>
      </c>
      <c r="Y106">
        <f>Source!U112</f>
        <v>0</v>
      </c>
      <c r="Z106">
        <f>Source!V112</f>
        <v>0</v>
      </c>
      <c r="AA106">
        <f>Source!X112</f>
        <v>0</v>
      </c>
      <c r="AB106">
        <f>Source!Y112</f>
        <v>0</v>
      </c>
    </row>
    <row r="107" spans="1:28" ht="14.25" x14ac:dyDescent="0.2">
      <c r="A107" s="49"/>
      <c r="B107" s="49"/>
      <c r="C107" s="54" t="str">
        <f>Source!H112</f>
        <v>м3</v>
      </c>
      <c r="D107" s="52"/>
      <c r="E107" s="53">
        <f>Source!AF112</f>
        <v>0</v>
      </c>
      <c r="F107" s="53">
        <f>Source!AE112</f>
        <v>0</v>
      </c>
      <c r="G107" s="53"/>
      <c r="H107" s="53"/>
      <c r="I107" s="53">
        <f>Source!R112</f>
        <v>0</v>
      </c>
      <c r="J107" s="53">
        <f>Source!AI112</f>
        <v>0</v>
      </c>
      <c r="K107" s="53">
        <f>Source!V112</f>
        <v>0</v>
      </c>
    </row>
    <row r="108" spans="1:28" ht="14.25" x14ac:dyDescent="0.2">
      <c r="A108" s="50" t="str">
        <f>Source!E113</f>
        <v>11</v>
      </c>
      <c r="B108" s="50" t="str">
        <f>Source!F113</f>
        <v>27-06-026-1</v>
      </c>
      <c r="C108" s="51" t="str">
        <f>Source!G113</f>
        <v>Розлив вяжущих материалов</v>
      </c>
      <c r="D108" s="52">
        <f>Source!I113</f>
        <v>0.65559999999999996</v>
      </c>
      <c r="E108" s="53">
        <f>Source!AB113</f>
        <v>1516.41</v>
      </c>
      <c r="F108" s="53">
        <f>Source!AD113</f>
        <v>49.33</v>
      </c>
      <c r="G108" s="53">
        <f>Source!O113</f>
        <v>994.16</v>
      </c>
      <c r="H108" s="53">
        <f>Source!S113</f>
        <v>0</v>
      </c>
      <c r="I108" s="53">
        <f>Source!Q113</f>
        <v>32.340000000000003</v>
      </c>
      <c r="J108" s="53">
        <f>Source!AH113</f>
        <v>0</v>
      </c>
      <c r="K108" s="53">
        <f>Source!U113</f>
        <v>0</v>
      </c>
      <c r="T108">
        <f>Source!O113+Source!X113+Source!Y113</f>
        <v>1007.0099999999999</v>
      </c>
      <c r="U108">
        <f>Source!P113</f>
        <v>961.82</v>
      </c>
      <c r="V108">
        <f>Source!S113</f>
        <v>0</v>
      </c>
      <c r="W108">
        <f>Source!Q113</f>
        <v>32.340000000000003</v>
      </c>
      <c r="X108">
        <f>Source!R113</f>
        <v>5.76</v>
      </c>
      <c r="Y108">
        <f>Source!U113</f>
        <v>0</v>
      </c>
      <c r="Z108">
        <f>Source!V113</f>
        <v>0.54086999999999996</v>
      </c>
      <c r="AA108">
        <f>Source!X113</f>
        <v>8.18</v>
      </c>
      <c r="AB108">
        <f>Source!Y113</f>
        <v>4.67</v>
      </c>
    </row>
    <row r="109" spans="1:28" ht="14.25" x14ac:dyDescent="0.2">
      <c r="A109" s="49"/>
      <c r="B109" s="49"/>
      <c r="C109" s="54" t="str">
        <f>Source!H113</f>
        <v>1 Т</v>
      </c>
      <c r="D109" s="52"/>
      <c r="E109" s="53">
        <f>Source!AF113</f>
        <v>0</v>
      </c>
      <c r="F109" s="53">
        <f>Source!AE113</f>
        <v>8.7799999999999994</v>
      </c>
      <c r="G109" s="53"/>
      <c r="H109" s="53"/>
      <c r="I109" s="53">
        <f>Source!R113</f>
        <v>5.76</v>
      </c>
      <c r="J109" s="53">
        <f>Source!AI113</f>
        <v>0.82500000000000007</v>
      </c>
      <c r="K109" s="53">
        <f>Source!V113</f>
        <v>0.54086999999999996</v>
      </c>
    </row>
    <row r="110" spans="1:28" x14ac:dyDescent="0.2">
      <c r="A110" s="49"/>
      <c r="B110" s="49"/>
      <c r="C110" s="55" t="str">
        <f>"Объем: "&amp;Source!I113&amp;"="&amp;Source!I117&amp;"*"&amp;"1000*"&amp;"0,0006"</f>
        <v>Объем: 0,6556=1,0926*1000*0,0006</v>
      </c>
      <c r="D110" s="49"/>
      <c r="E110" s="49"/>
      <c r="F110" s="49"/>
      <c r="G110" s="49"/>
      <c r="H110" s="49"/>
      <c r="I110" s="49"/>
      <c r="J110" s="49"/>
      <c r="K110" s="49"/>
    </row>
    <row r="111" spans="1:28" x14ac:dyDescent="0.2">
      <c r="A111" s="49"/>
      <c r="B111" s="49"/>
      <c r="C111" s="55" t="s">
        <v>614</v>
      </c>
      <c r="D111" s="74" t="s">
        <v>12</v>
      </c>
      <c r="E111" s="74"/>
      <c r="F111" s="74"/>
      <c r="G111" s="74"/>
      <c r="H111" s="74"/>
      <c r="I111" s="74"/>
      <c r="J111" s="74"/>
      <c r="K111" s="74"/>
    </row>
    <row r="112" spans="1:28" x14ac:dyDescent="0.2">
      <c r="A112" s="49"/>
      <c r="B112" s="49"/>
      <c r="C112" s="55" t="s">
        <v>615</v>
      </c>
      <c r="D112" s="74" t="s">
        <v>12</v>
      </c>
      <c r="E112" s="74"/>
      <c r="F112" s="74"/>
      <c r="G112" s="74"/>
      <c r="H112" s="74"/>
      <c r="I112" s="74"/>
      <c r="J112" s="74"/>
      <c r="K112" s="74"/>
    </row>
    <row r="113" spans="1:28" x14ac:dyDescent="0.2">
      <c r="A113" s="49"/>
      <c r="B113" s="49"/>
      <c r="C113" s="55" t="s">
        <v>616</v>
      </c>
      <c r="D113" s="74" t="s">
        <v>13</v>
      </c>
      <c r="E113" s="74"/>
      <c r="F113" s="74"/>
      <c r="G113" s="74"/>
      <c r="H113" s="74"/>
      <c r="I113" s="74"/>
      <c r="J113" s="74"/>
      <c r="K113" s="74"/>
    </row>
    <row r="114" spans="1:28" x14ac:dyDescent="0.2">
      <c r="A114" s="49"/>
      <c r="B114" s="49"/>
      <c r="C114" s="55" t="s">
        <v>617</v>
      </c>
      <c r="D114" s="74" t="s">
        <v>13</v>
      </c>
      <c r="E114" s="74"/>
      <c r="F114" s="74"/>
      <c r="G114" s="74"/>
      <c r="H114" s="74"/>
      <c r="I114" s="74"/>
      <c r="J114" s="74"/>
      <c r="K114" s="74"/>
    </row>
    <row r="115" spans="1:28" x14ac:dyDescent="0.2">
      <c r="A115" s="49"/>
      <c r="B115" s="49"/>
      <c r="C115" s="55" t="s">
        <v>618</v>
      </c>
      <c r="D115" s="74" t="s">
        <v>12</v>
      </c>
      <c r="E115" s="74"/>
      <c r="F115" s="74"/>
      <c r="G115" s="74"/>
      <c r="H115" s="74"/>
      <c r="I115" s="74"/>
      <c r="J115" s="74"/>
      <c r="K115" s="74"/>
    </row>
    <row r="116" spans="1:28" x14ac:dyDescent="0.2">
      <c r="A116" s="49"/>
      <c r="B116" s="49"/>
      <c r="C116" s="56" t="s">
        <v>611</v>
      </c>
      <c r="D116" s="57">
        <f>Source!BZ113</f>
        <v>142</v>
      </c>
      <c r="E116" s="58">
        <f>(Source!AF113+Source!AE113)*Source!FX113/100</f>
        <v>12.467599999999999</v>
      </c>
      <c r="F116" s="57"/>
      <c r="G116" s="58">
        <f>Source!X113</f>
        <v>8.18</v>
      </c>
      <c r="H116" s="57" t="str">
        <f>CONCATENATE(Source!AT113)</f>
        <v>142</v>
      </c>
      <c r="I116" s="57"/>
      <c r="J116" s="57"/>
      <c r="K116" s="57"/>
    </row>
    <row r="117" spans="1:28" x14ac:dyDescent="0.2">
      <c r="A117" s="49"/>
      <c r="B117" s="49"/>
      <c r="C117" s="56" t="s">
        <v>612</v>
      </c>
      <c r="D117" s="57">
        <f>Source!CA113</f>
        <v>95</v>
      </c>
      <c r="E117" s="58">
        <f>(Source!AF113+Source!AE113)*Source!FY113/100</f>
        <v>7.0898499999999993</v>
      </c>
      <c r="F117" s="57" t="str">
        <f>CONCATENATE(Source!DM113,Source!FU113, "=", Source!FY113, "%")</f>
        <v>*0,85=80,75%</v>
      </c>
      <c r="G117" s="58">
        <f>Source!Y113</f>
        <v>4.67</v>
      </c>
      <c r="H117" s="57" t="str">
        <f>CONCATENATE(Source!AU113)</f>
        <v>81</v>
      </c>
      <c r="I117" s="57"/>
      <c r="J117" s="57"/>
      <c r="K117" s="57"/>
    </row>
    <row r="118" spans="1:28" x14ac:dyDescent="0.2">
      <c r="A118" s="49"/>
      <c r="B118" s="49"/>
      <c r="C118" s="56" t="s">
        <v>613</v>
      </c>
      <c r="D118" s="57"/>
      <c r="E118" s="58">
        <f>((Source!AF113+Source!AE113)*Source!FX113/100)+((Source!AF113+Source!AE113)*Source!FY113/100)+Source!AB113</f>
        <v>1535.9674500000001</v>
      </c>
      <c r="F118" s="57"/>
      <c r="G118" s="58">
        <f>Source!O113+Source!X113+Source!Y113</f>
        <v>1007.0099999999999</v>
      </c>
      <c r="H118" s="57"/>
      <c r="I118" s="57"/>
      <c r="J118" s="57"/>
      <c r="K118" s="57"/>
    </row>
    <row r="119" spans="1:28" ht="57" x14ac:dyDescent="0.2">
      <c r="A119" s="50" t="str">
        <f>Source!E114</f>
        <v>12</v>
      </c>
      <c r="B119" s="50" t="str">
        <f>Source!F114</f>
        <v>27-06-020-8</v>
      </c>
      <c r="C119" s="51" t="str">
        <f>Source!G114</f>
        <v>Устройство покрытия толщиной 4 см из горячих асфальтобетонных смесей пористых мелкозернистых, плотность каменных материалов: 2,5-2,9 т/м3</v>
      </c>
      <c r="D119" s="52">
        <f>Source!I114</f>
        <v>1.0926</v>
      </c>
      <c r="E119" s="53">
        <f>Source!AB114</f>
        <v>44215.55</v>
      </c>
      <c r="F119" s="53">
        <f>Source!AD114</f>
        <v>2984</v>
      </c>
      <c r="G119" s="53">
        <f>Source!O114</f>
        <v>48309.91</v>
      </c>
      <c r="H119" s="53">
        <f>Source!S114</f>
        <v>376.8</v>
      </c>
      <c r="I119" s="53">
        <f>Source!Q114</f>
        <v>3260.32</v>
      </c>
      <c r="J119" s="53">
        <f>Source!AH114</f>
        <v>44.044999999999995</v>
      </c>
      <c r="K119" s="53">
        <f>Source!U114</f>
        <v>48.123566999999994</v>
      </c>
      <c r="T119">
        <f>Source!O114+Source!X114+Source!Y114</f>
        <v>49936.07</v>
      </c>
      <c r="U119">
        <f>Source!P114</f>
        <v>44672.79</v>
      </c>
      <c r="V119">
        <f>Source!S114</f>
        <v>376.8</v>
      </c>
      <c r="W119">
        <f>Source!Q114</f>
        <v>3260.32</v>
      </c>
      <c r="X119">
        <f>Source!R114</f>
        <v>352.42</v>
      </c>
      <c r="Y119">
        <f>Source!U114</f>
        <v>48.123566999999994</v>
      </c>
      <c r="Z119">
        <f>Source!V114</f>
        <v>26.085825</v>
      </c>
      <c r="AA119">
        <f>Source!X114</f>
        <v>1035.49</v>
      </c>
      <c r="AB119">
        <f>Source!Y114</f>
        <v>590.66999999999996</v>
      </c>
    </row>
    <row r="120" spans="1:28" ht="14.25" x14ac:dyDescent="0.2">
      <c r="A120" s="49"/>
      <c r="B120" s="49"/>
      <c r="C120" s="54" t="str">
        <f>Source!H114</f>
        <v>1000 м2 покрытия</v>
      </c>
      <c r="D120" s="52"/>
      <c r="E120" s="53">
        <f>Source!AF114</f>
        <v>344.87</v>
      </c>
      <c r="F120" s="53">
        <f>Source!AE114</f>
        <v>322.55</v>
      </c>
      <c r="G120" s="53"/>
      <c r="H120" s="53"/>
      <c r="I120" s="53">
        <f>Source!R114</f>
        <v>352.42</v>
      </c>
      <c r="J120" s="53">
        <f>Source!AI114</f>
        <v>23.875</v>
      </c>
      <c r="K120" s="53">
        <f>Source!V114</f>
        <v>26.085825</v>
      </c>
    </row>
    <row r="121" spans="1:28" x14ac:dyDescent="0.2">
      <c r="A121" s="49"/>
      <c r="B121" s="49"/>
      <c r="C121" s="55" t="str">
        <f>"Объем: "&amp;Source!I114&amp;"=("&amp;Source!I117&amp;"*"&amp;"1000)/"&amp;"1000"</f>
        <v>Объем: 1,0926=(1,0926*1000)/1000</v>
      </c>
      <c r="D121" s="49"/>
      <c r="E121" s="49"/>
      <c r="F121" s="49"/>
      <c r="G121" s="49"/>
      <c r="H121" s="49"/>
      <c r="I121" s="49"/>
      <c r="J121" s="49"/>
      <c r="K121" s="49"/>
    </row>
    <row r="122" spans="1:28" x14ac:dyDescent="0.2">
      <c r="A122" s="49"/>
      <c r="B122" s="49"/>
      <c r="C122" s="55" t="s">
        <v>614</v>
      </c>
      <c r="D122" s="74" t="s">
        <v>138</v>
      </c>
      <c r="E122" s="74"/>
      <c r="F122" s="74"/>
      <c r="G122" s="74"/>
      <c r="H122" s="74"/>
      <c r="I122" s="74"/>
      <c r="J122" s="74"/>
      <c r="K122" s="74"/>
    </row>
    <row r="123" spans="1:28" x14ac:dyDescent="0.2">
      <c r="A123" s="49"/>
      <c r="B123" s="49"/>
      <c r="C123" s="55" t="s">
        <v>615</v>
      </c>
      <c r="D123" s="74" t="s">
        <v>138</v>
      </c>
      <c r="E123" s="74"/>
      <c r="F123" s="74"/>
      <c r="G123" s="74"/>
      <c r="H123" s="74"/>
      <c r="I123" s="74"/>
      <c r="J123" s="74"/>
      <c r="K123" s="74"/>
    </row>
    <row r="124" spans="1:28" x14ac:dyDescent="0.2">
      <c r="A124" s="49"/>
      <c r="B124" s="49"/>
      <c r="C124" s="55" t="s">
        <v>616</v>
      </c>
      <c r="D124" s="74" t="s">
        <v>139</v>
      </c>
      <c r="E124" s="74"/>
      <c r="F124" s="74"/>
      <c r="G124" s="74"/>
      <c r="H124" s="74"/>
      <c r="I124" s="74"/>
      <c r="J124" s="74"/>
      <c r="K124" s="74"/>
    </row>
    <row r="125" spans="1:28" x14ac:dyDescent="0.2">
      <c r="A125" s="49"/>
      <c r="B125" s="49"/>
      <c r="C125" s="55" t="s">
        <v>617</v>
      </c>
      <c r="D125" s="74" t="s">
        <v>139</v>
      </c>
      <c r="E125" s="74"/>
      <c r="F125" s="74"/>
      <c r="G125" s="74"/>
      <c r="H125" s="74"/>
      <c r="I125" s="74"/>
      <c r="J125" s="74"/>
      <c r="K125" s="74"/>
    </row>
    <row r="126" spans="1:28" x14ac:dyDescent="0.2">
      <c r="A126" s="49"/>
      <c r="B126" s="49"/>
      <c r="C126" s="55" t="s">
        <v>618</v>
      </c>
      <c r="D126" s="74" t="s">
        <v>138</v>
      </c>
      <c r="E126" s="74"/>
      <c r="F126" s="74"/>
      <c r="G126" s="74"/>
      <c r="H126" s="74"/>
      <c r="I126" s="74"/>
      <c r="J126" s="74"/>
      <c r="K126" s="74"/>
    </row>
    <row r="127" spans="1:28" x14ac:dyDescent="0.2">
      <c r="A127" s="49"/>
      <c r="B127" s="49"/>
      <c r="C127" s="56" t="s">
        <v>611</v>
      </c>
      <c r="D127" s="57">
        <f>Source!BZ114</f>
        <v>142</v>
      </c>
      <c r="E127" s="58">
        <f>(Source!AF114+Source!AE114)*Source!FX114/100</f>
        <v>947.73640000000012</v>
      </c>
      <c r="F127" s="57"/>
      <c r="G127" s="58">
        <f>Source!X114</f>
        <v>1035.49</v>
      </c>
      <c r="H127" s="57" t="str">
        <f>CONCATENATE(Source!AT114)</f>
        <v>142</v>
      </c>
      <c r="I127" s="57"/>
      <c r="J127" s="57"/>
      <c r="K127" s="57"/>
    </row>
    <row r="128" spans="1:28" x14ac:dyDescent="0.2">
      <c r="A128" s="49"/>
      <c r="B128" s="49"/>
      <c r="C128" s="56" t="s">
        <v>612</v>
      </c>
      <c r="D128" s="57">
        <f>Source!CA114</f>
        <v>95</v>
      </c>
      <c r="E128" s="58">
        <f>(Source!AF114+Source!AE114)*Source!FY114/100</f>
        <v>538.9416500000001</v>
      </c>
      <c r="F128" s="57" t="str">
        <f>CONCATENATE(Source!DM114,Source!FU114, "=", Source!FY114, "%")</f>
        <v>*0,85=80,75%</v>
      </c>
      <c r="G128" s="58">
        <f>Source!Y114</f>
        <v>590.66999999999996</v>
      </c>
      <c r="H128" s="57" t="str">
        <f>CONCATENATE(Source!AU114)</f>
        <v>81</v>
      </c>
      <c r="I128" s="57"/>
      <c r="J128" s="57"/>
      <c r="K128" s="57"/>
    </row>
    <row r="129" spans="1:28" x14ac:dyDescent="0.2">
      <c r="A129" s="49"/>
      <c r="B129" s="49"/>
      <c r="C129" s="56" t="s">
        <v>613</v>
      </c>
      <c r="D129" s="57"/>
      <c r="E129" s="58">
        <f>((Source!AF114+Source!AE114)*Source!FX114/100)+((Source!AF114+Source!AE114)*Source!FY114/100)+Source!AB114</f>
        <v>45702.228050000005</v>
      </c>
      <c r="F129" s="57"/>
      <c r="G129" s="58">
        <f>Source!O114+Source!X114+Source!Y114</f>
        <v>49936.07</v>
      </c>
      <c r="H129" s="57"/>
      <c r="I129" s="57"/>
      <c r="J129" s="57"/>
      <c r="K129" s="57"/>
    </row>
    <row r="130" spans="1:28" ht="42.75" x14ac:dyDescent="0.2">
      <c r="A130" s="50" t="str">
        <f>Source!E115</f>
        <v>13</v>
      </c>
      <c r="B130" s="50" t="str">
        <f>Source!F115</f>
        <v>27-06-021-8</v>
      </c>
      <c r="C130" s="51" t="str">
        <f>Source!G115</f>
        <v>На каждые 0,5 см изменения толщины покрытия добавлять или исключать: к расценке 27-06-020-08</v>
      </c>
      <c r="D130" s="52">
        <f>Source!I115</f>
        <v>1.0926</v>
      </c>
      <c r="E130" s="53">
        <f>Source!AB115</f>
        <v>10122.969999999999</v>
      </c>
      <c r="F130" s="53">
        <f>Source!AD115</f>
        <v>0</v>
      </c>
      <c r="G130" s="53">
        <f>Source!O115</f>
        <v>11060.36</v>
      </c>
      <c r="H130" s="53">
        <f>Source!S115</f>
        <v>1.76</v>
      </c>
      <c r="I130" s="53">
        <f>Source!Q115</f>
        <v>0</v>
      </c>
      <c r="J130" s="53">
        <f>Source!AH115</f>
        <v>0.20699999999999999</v>
      </c>
      <c r="K130" s="53">
        <f>Source!U115</f>
        <v>0.22616819999999999</v>
      </c>
      <c r="T130">
        <f>Source!O115+Source!X115+Source!Y115</f>
        <v>11064.29</v>
      </c>
      <c r="U130">
        <f>Source!P115</f>
        <v>11058.6</v>
      </c>
      <c r="V130">
        <f>Source!S115</f>
        <v>1.76</v>
      </c>
      <c r="W130">
        <f>Source!Q115</f>
        <v>0</v>
      </c>
      <c r="X130">
        <f>Source!R115</f>
        <v>0</v>
      </c>
      <c r="Y130">
        <f>Source!U115</f>
        <v>0.22616819999999999</v>
      </c>
      <c r="Z130">
        <f>Source!V115</f>
        <v>0</v>
      </c>
      <c r="AA130">
        <f>Source!X115</f>
        <v>2.5</v>
      </c>
      <c r="AB130">
        <f>Source!Y115</f>
        <v>1.43</v>
      </c>
    </row>
    <row r="131" spans="1:28" ht="14.25" x14ac:dyDescent="0.2">
      <c r="A131" s="49"/>
      <c r="B131" s="49"/>
      <c r="C131" s="54" t="str">
        <f>Source!H115</f>
        <v>1000 м2 покрытия</v>
      </c>
      <c r="D131" s="52"/>
      <c r="E131" s="53">
        <f>Source!AF115</f>
        <v>1.61</v>
      </c>
      <c r="F131" s="53">
        <f>Source!AE115</f>
        <v>0</v>
      </c>
      <c r="G131" s="53"/>
      <c r="H131" s="53"/>
      <c r="I131" s="53">
        <f>Source!R115</f>
        <v>0</v>
      </c>
      <c r="J131" s="53">
        <f>Source!AI115</f>
        <v>0</v>
      </c>
      <c r="K131" s="53">
        <f>Source!V115</f>
        <v>0</v>
      </c>
    </row>
    <row r="132" spans="1:28" x14ac:dyDescent="0.2">
      <c r="A132" s="49"/>
      <c r="B132" s="49"/>
      <c r="C132" s="55" t="str">
        <f>"Объем: "&amp;Source!I115&amp;"=("&amp;Source!I114&amp;"*"&amp;"1000)/"&amp;"1000"</f>
        <v>Объем: 1,0926=(1,0926*1000)/1000</v>
      </c>
      <c r="D132" s="49"/>
      <c r="E132" s="49"/>
      <c r="F132" s="49"/>
      <c r="G132" s="49"/>
      <c r="H132" s="49"/>
      <c r="I132" s="49"/>
      <c r="J132" s="49"/>
      <c r="K132" s="49"/>
    </row>
    <row r="133" spans="1:28" x14ac:dyDescent="0.2">
      <c r="A133" s="49"/>
      <c r="B133" s="49"/>
      <c r="C133" s="55" t="s">
        <v>619</v>
      </c>
      <c r="D133" s="74" t="s">
        <v>158</v>
      </c>
      <c r="E133" s="74"/>
      <c r="F133" s="74"/>
      <c r="G133" s="74"/>
      <c r="H133" s="74"/>
      <c r="I133" s="74"/>
      <c r="J133" s="74"/>
      <c r="K133" s="74"/>
    </row>
    <row r="134" spans="1:28" x14ac:dyDescent="0.2">
      <c r="A134" s="49"/>
      <c r="B134" s="49"/>
      <c r="C134" s="55" t="s">
        <v>614</v>
      </c>
      <c r="D134" s="74" t="s">
        <v>159</v>
      </c>
      <c r="E134" s="74"/>
      <c r="F134" s="74"/>
      <c r="G134" s="74"/>
      <c r="H134" s="74"/>
      <c r="I134" s="74"/>
      <c r="J134" s="74"/>
      <c r="K134" s="74"/>
    </row>
    <row r="135" spans="1:28" x14ac:dyDescent="0.2">
      <c r="A135" s="49"/>
      <c r="B135" s="49"/>
      <c r="C135" s="55" t="s">
        <v>615</v>
      </c>
      <c r="D135" s="74" t="s">
        <v>159</v>
      </c>
      <c r="E135" s="74"/>
      <c r="F135" s="74"/>
      <c r="G135" s="74"/>
      <c r="H135" s="74"/>
      <c r="I135" s="74"/>
      <c r="J135" s="74"/>
      <c r="K135" s="74"/>
    </row>
    <row r="136" spans="1:28" x14ac:dyDescent="0.2">
      <c r="A136" s="49"/>
      <c r="B136" s="49"/>
      <c r="C136" s="55" t="s">
        <v>616</v>
      </c>
      <c r="D136" s="74" t="s">
        <v>160</v>
      </c>
      <c r="E136" s="74"/>
      <c r="F136" s="74"/>
      <c r="G136" s="74"/>
      <c r="H136" s="74"/>
      <c r="I136" s="74"/>
      <c r="J136" s="74"/>
      <c r="K136" s="74"/>
    </row>
    <row r="137" spans="1:28" x14ac:dyDescent="0.2">
      <c r="A137" s="49"/>
      <c r="B137" s="49"/>
      <c r="C137" s="55" t="s">
        <v>617</v>
      </c>
      <c r="D137" s="74" t="s">
        <v>160</v>
      </c>
      <c r="E137" s="74"/>
      <c r="F137" s="74"/>
      <c r="G137" s="74"/>
      <c r="H137" s="74"/>
      <c r="I137" s="74"/>
      <c r="J137" s="74"/>
      <c r="K137" s="74"/>
    </row>
    <row r="138" spans="1:28" x14ac:dyDescent="0.2">
      <c r="A138" s="49"/>
      <c r="B138" s="49"/>
      <c r="C138" s="55" t="s">
        <v>618</v>
      </c>
      <c r="D138" s="74" t="s">
        <v>159</v>
      </c>
      <c r="E138" s="74"/>
      <c r="F138" s="74"/>
      <c r="G138" s="74"/>
      <c r="H138" s="74"/>
      <c r="I138" s="74"/>
      <c r="J138" s="74"/>
      <c r="K138" s="74"/>
    </row>
    <row r="139" spans="1:28" x14ac:dyDescent="0.2">
      <c r="A139" s="49"/>
      <c r="B139" s="49"/>
      <c r="C139" s="56" t="s">
        <v>611</v>
      </c>
      <c r="D139" s="57">
        <f>Source!BZ115</f>
        <v>142</v>
      </c>
      <c r="E139" s="58">
        <f>(Source!AF115+Source!AE115)*Source!FX115/100</f>
        <v>2.2862</v>
      </c>
      <c r="F139" s="57"/>
      <c r="G139" s="58">
        <f>Source!X115</f>
        <v>2.5</v>
      </c>
      <c r="H139" s="57" t="str">
        <f>CONCATENATE(Source!AT115)</f>
        <v>142</v>
      </c>
      <c r="I139" s="57"/>
      <c r="J139" s="57"/>
      <c r="K139" s="57"/>
    </row>
    <row r="140" spans="1:28" x14ac:dyDescent="0.2">
      <c r="A140" s="49"/>
      <c r="B140" s="49"/>
      <c r="C140" s="56" t="s">
        <v>612</v>
      </c>
      <c r="D140" s="57">
        <f>Source!CA115</f>
        <v>95</v>
      </c>
      <c r="E140" s="58">
        <f>(Source!AF115+Source!AE115)*Source!FY115/100</f>
        <v>1.3000750000000003</v>
      </c>
      <c r="F140" s="57" t="str">
        <f>CONCATENATE(Source!DM115,Source!FU115, "=", Source!FY115, "%")</f>
        <v>*0,85=80,75%</v>
      </c>
      <c r="G140" s="58">
        <f>Source!Y115</f>
        <v>1.43</v>
      </c>
      <c r="H140" s="57" t="str">
        <f>CONCATENATE(Source!AU115)</f>
        <v>81</v>
      </c>
      <c r="I140" s="57"/>
      <c r="J140" s="57"/>
      <c r="K140" s="57"/>
    </row>
    <row r="141" spans="1:28" x14ac:dyDescent="0.2">
      <c r="A141" s="49"/>
      <c r="B141" s="49"/>
      <c r="C141" s="56" t="s">
        <v>613</v>
      </c>
      <c r="D141" s="57"/>
      <c r="E141" s="58">
        <f>((Source!AF115+Source!AE115)*Source!FX115/100)+((Source!AF115+Source!AE115)*Source!FY115/100)+Source!AB115</f>
        <v>10126.556274999999</v>
      </c>
      <c r="F141" s="57"/>
      <c r="G141" s="58">
        <f>Source!O115+Source!X115+Source!Y115</f>
        <v>11064.29</v>
      </c>
      <c r="H141" s="57"/>
      <c r="I141" s="57"/>
      <c r="J141" s="57"/>
      <c r="K141" s="57"/>
    </row>
    <row r="142" spans="1:28" ht="14.25" x14ac:dyDescent="0.2">
      <c r="A142" s="50" t="str">
        <f>Source!E116</f>
        <v>14</v>
      </c>
      <c r="B142" s="50" t="str">
        <f>Source!F116</f>
        <v>27-06-026-1</v>
      </c>
      <c r="C142" s="51" t="str">
        <f>Source!G116</f>
        <v>Розлив вяжущих материалов</v>
      </c>
      <c r="D142" s="52">
        <f>Source!I116</f>
        <v>0.32779999999999998</v>
      </c>
      <c r="E142" s="53">
        <f>Source!AB116</f>
        <v>1516.41</v>
      </c>
      <c r="F142" s="53">
        <f>Source!AD116</f>
        <v>49.33</v>
      </c>
      <c r="G142" s="53">
        <f>Source!O116</f>
        <v>497.08</v>
      </c>
      <c r="H142" s="53">
        <f>Source!S116</f>
        <v>0</v>
      </c>
      <c r="I142" s="53">
        <f>Source!Q116</f>
        <v>16.170000000000002</v>
      </c>
      <c r="J142" s="53">
        <f>Source!AH116</f>
        <v>0</v>
      </c>
      <c r="K142" s="53">
        <f>Source!U116</f>
        <v>0</v>
      </c>
      <c r="T142">
        <f>Source!O116+Source!X116+Source!Y116</f>
        <v>503.49999999999994</v>
      </c>
      <c r="U142">
        <f>Source!P116</f>
        <v>480.91</v>
      </c>
      <c r="V142">
        <f>Source!S116</f>
        <v>0</v>
      </c>
      <c r="W142">
        <f>Source!Q116</f>
        <v>16.170000000000002</v>
      </c>
      <c r="X142">
        <f>Source!R116</f>
        <v>2.88</v>
      </c>
      <c r="Y142">
        <f>Source!U116</f>
        <v>0</v>
      </c>
      <c r="Z142">
        <f>Source!V116</f>
        <v>0.27043499999999998</v>
      </c>
      <c r="AA142">
        <f>Source!X116</f>
        <v>4.09</v>
      </c>
      <c r="AB142">
        <f>Source!Y116</f>
        <v>2.33</v>
      </c>
    </row>
    <row r="143" spans="1:28" ht="14.25" x14ac:dyDescent="0.2">
      <c r="A143" s="49"/>
      <c r="B143" s="49"/>
      <c r="C143" s="54" t="str">
        <f>Source!H116</f>
        <v>1 Т</v>
      </c>
      <c r="D143" s="52"/>
      <c r="E143" s="53">
        <f>Source!AF116</f>
        <v>0</v>
      </c>
      <c r="F143" s="53">
        <f>Source!AE116</f>
        <v>8.7799999999999994</v>
      </c>
      <c r="G143" s="53"/>
      <c r="H143" s="53"/>
      <c r="I143" s="53">
        <f>Source!R116</f>
        <v>2.88</v>
      </c>
      <c r="J143" s="53">
        <f>Source!AI116</f>
        <v>0.82500000000000007</v>
      </c>
      <c r="K143" s="53">
        <f>Source!V116</f>
        <v>0.27043499999999998</v>
      </c>
    </row>
    <row r="144" spans="1:28" x14ac:dyDescent="0.2">
      <c r="A144" s="49"/>
      <c r="B144" s="49"/>
      <c r="C144" s="55" t="str">
        <f>"Объем: "&amp;Source!I116&amp;"="&amp;Source!I117&amp;"*"&amp;"1000*"&amp;"0,0003"</f>
        <v>Объем: 0,3278=1,0926*1000*0,0003</v>
      </c>
      <c r="D144" s="49"/>
      <c r="E144" s="49"/>
      <c r="F144" s="49"/>
      <c r="G144" s="49"/>
      <c r="H144" s="49"/>
      <c r="I144" s="49"/>
      <c r="J144" s="49"/>
      <c r="K144" s="49"/>
    </row>
    <row r="145" spans="1:28" x14ac:dyDescent="0.2">
      <c r="A145" s="49"/>
      <c r="B145" s="49"/>
      <c r="C145" s="55" t="s">
        <v>614</v>
      </c>
      <c r="D145" s="74" t="s">
        <v>12</v>
      </c>
      <c r="E145" s="74"/>
      <c r="F145" s="74"/>
      <c r="G145" s="74"/>
      <c r="H145" s="74"/>
      <c r="I145" s="74"/>
      <c r="J145" s="74"/>
      <c r="K145" s="74"/>
    </row>
    <row r="146" spans="1:28" x14ac:dyDescent="0.2">
      <c r="A146" s="49"/>
      <c r="B146" s="49"/>
      <c r="C146" s="55" t="s">
        <v>615</v>
      </c>
      <c r="D146" s="74" t="s">
        <v>12</v>
      </c>
      <c r="E146" s="74"/>
      <c r="F146" s="74"/>
      <c r="G146" s="74"/>
      <c r="H146" s="74"/>
      <c r="I146" s="74"/>
      <c r="J146" s="74"/>
      <c r="K146" s="74"/>
    </row>
    <row r="147" spans="1:28" x14ac:dyDescent="0.2">
      <c r="A147" s="49"/>
      <c r="B147" s="49"/>
      <c r="C147" s="55" t="s">
        <v>616</v>
      </c>
      <c r="D147" s="74" t="s">
        <v>13</v>
      </c>
      <c r="E147" s="74"/>
      <c r="F147" s="74"/>
      <c r="G147" s="74"/>
      <c r="H147" s="74"/>
      <c r="I147" s="74"/>
      <c r="J147" s="74"/>
      <c r="K147" s="74"/>
    </row>
    <row r="148" spans="1:28" x14ac:dyDescent="0.2">
      <c r="A148" s="49"/>
      <c r="B148" s="49"/>
      <c r="C148" s="55" t="s">
        <v>617</v>
      </c>
      <c r="D148" s="74" t="s">
        <v>13</v>
      </c>
      <c r="E148" s="74"/>
      <c r="F148" s="74"/>
      <c r="G148" s="74"/>
      <c r="H148" s="74"/>
      <c r="I148" s="74"/>
      <c r="J148" s="74"/>
      <c r="K148" s="74"/>
    </row>
    <row r="149" spans="1:28" x14ac:dyDescent="0.2">
      <c r="A149" s="49"/>
      <c r="B149" s="49"/>
      <c r="C149" s="55" t="s">
        <v>618</v>
      </c>
      <c r="D149" s="74" t="s">
        <v>12</v>
      </c>
      <c r="E149" s="74"/>
      <c r="F149" s="74"/>
      <c r="G149" s="74"/>
      <c r="H149" s="74"/>
      <c r="I149" s="74"/>
      <c r="J149" s="74"/>
      <c r="K149" s="74"/>
    </row>
    <row r="150" spans="1:28" x14ac:dyDescent="0.2">
      <c r="A150" s="49"/>
      <c r="B150" s="49"/>
      <c r="C150" s="56" t="s">
        <v>611</v>
      </c>
      <c r="D150" s="57">
        <f>Source!BZ116</f>
        <v>142</v>
      </c>
      <c r="E150" s="58">
        <f>(Source!AF116+Source!AE116)*Source!FX116/100</f>
        <v>12.467599999999999</v>
      </c>
      <c r="F150" s="57"/>
      <c r="G150" s="58">
        <f>Source!X116</f>
        <v>4.09</v>
      </c>
      <c r="H150" s="57" t="str">
        <f>CONCATENATE(Source!AT116)</f>
        <v>142</v>
      </c>
      <c r="I150" s="57"/>
      <c r="J150" s="57"/>
      <c r="K150" s="57"/>
    </row>
    <row r="151" spans="1:28" x14ac:dyDescent="0.2">
      <c r="A151" s="49"/>
      <c r="B151" s="49"/>
      <c r="C151" s="56" t="s">
        <v>612</v>
      </c>
      <c r="D151" s="57">
        <f>Source!CA116</f>
        <v>95</v>
      </c>
      <c r="E151" s="58">
        <f>(Source!AF116+Source!AE116)*Source!FY116/100</f>
        <v>7.0898499999999993</v>
      </c>
      <c r="F151" s="57" t="str">
        <f>CONCATENATE(Source!DM116,Source!FU116, "=", Source!FY116, "%")</f>
        <v>*0,85=80,75%</v>
      </c>
      <c r="G151" s="58">
        <f>Source!Y116</f>
        <v>2.33</v>
      </c>
      <c r="H151" s="57" t="str">
        <f>CONCATENATE(Source!AU116)</f>
        <v>81</v>
      </c>
      <c r="I151" s="57"/>
      <c r="J151" s="57"/>
      <c r="K151" s="57"/>
    </row>
    <row r="152" spans="1:28" x14ac:dyDescent="0.2">
      <c r="A152" s="49"/>
      <c r="B152" s="49"/>
      <c r="C152" s="56" t="s">
        <v>613</v>
      </c>
      <c r="D152" s="57"/>
      <c r="E152" s="58">
        <f>((Source!AF116+Source!AE116)*Source!FX116/100)+((Source!AF116+Source!AE116)*Source!FY116/100)+Source!AB116</f>
        <v>1535.9674500000001</v>
      </c>
      <c r="F152" s="57"/>
      <c r="G152" s="58">
        <f>Source!O116+Source!X116+Source!Y116</f>
        <v>503.49999999999994</v>
      </c>
      <c r="H152" s="57"/>
      <c r="I152" s="57"/>
      <c r="J152" s="57"/>
      <c r="K152" s="57"/>
    </row>
    <row r="153" spans="1:28" ht="71.25" x14ac:dyDescent="0.2">
      <c r="A153" s="50" t="str">
        <f>Source!E117</f>
        <v>15</v>
      </c>
      <c r="B153" s="50" t="str">
        <f>Source!F117</f>
        <v>27-06-020-1</v>
      </c>
      <c r="C153" s="51" t="str">
        <f>Source!G117</f>
        <v>Устройство покрытия толщиной 4 см из горячих асфальтобетонных смесей плотных мелкозернистых типа АБВ, плотность каменных материалов: 2,5-2,9 т/м3</v>
      </c>
      <c r="D153" s="52">
        <f>Source!I117</f>
        <v>1.0926</v>
      </c>
      <c r="E153" s="53">
        <f>Source!AB117</f>
        <v>44333</v>
      </c>
      <c r="F153" s="53">
        <f>Source!AD117</f>
        <v>2976.87</v>
      </c>
      <c r="G153" s="53">
        <f>Source!O117</f>
        <v>48438.23</v>
      </c>
      <c r="H153" s="53">
        <f>Source!S117</f>
        <v>376.8</v>
      </c>
      <c r="I153" s="53">
        <f>Source!Q117</f>
        <v>3252.53</v>
      </c>
      <c r="J153" s="53">
        <f>Source!AH117</f>
        <v>44.044999999999995</v>
      </c>
      <c r="K153" s="53">
        <f>Source!U117</f>
        <v>48.123566999999994</v>
      </c>
      <c r="T153">
        <f>Source!O117+Source!X117+Source!Y117</f>
        <v>50063.570000000007</v>
      </c>
      <c r="U153">
        <f>Source!P117</f>
        <v>44808.9</v>
      </c>
      <c r="V153">
        <f>Source!S117</f>
        <v>376.8</v>
      </c>
      <c r="W153">
        <f>Source!Q117</f>
        <v>3252.53</v>
      </c>
      <c r="X153">
        <f>Source!R117</f>
        <v>352.05</v>
      </c>
      <c r="Y153">
        <f>Source!U117</f>
        <v>48.123566999999994</v>
      </c>
      <c r="Z153">
        <f>Source!V117</f>
        <v>26.058509999999998</v>
      </c>
      <c r="AA153">
        <f>Source!X117</f>
        <v>1034.97</v>
      </c>
      <c r="AB153">
        <f>Source!Y117</f>
        <v>590.37</v>
      </c>
    </row>
    <row r="154" spans="1:28" ht="14.25" x14ac:dyDescent="0.2">
      <c r="A154" s="49"/>
      <c r="B154" s="49"/>
      <c r="C154" s="54" t="str">
        <f>Source!H117</f>
        <v>1000 м2 покрытия</v>
      </c>
      <c r="D154" s="52"/>
      <c r="E154" s="53">
        <f>Source!AF117</f>
        <v>344.87</v>
      </c>
      <c r="F154" s="53">
        <f>Source!AE117</f>
        <v>322.20999999999998</v>
      </c>
      <c r="G154" s="53"/>
      <c r="H154" s="53"/>
      <c r="I154" s="53">
        <f>Source!R117</f>
        <v>352.05</v>
      </c>
      <c r="J154" s="53">
        <f>Source!AI117</f>
        <v>23.849999999999998</v>
      </c>
      <c r="K154" s="53">
        <f>Source!V117</f>
        <v>26.058509999999998</v>
      </c>
    </row>
    <row r="155" spans="1:28" x14ac:dyDescent="0.2">
      <c r="A155" s="49"/>
      <c r="B155" s="49"/>
      <c r="C155" s="55" t="str">
        <f>"Объем: "&amp;Source!I117&amp;"=1092,55/"&amp;"1000"</f>
        <v>Объем: 1,0926=1092,55/1000</v>
      </c>
      <c r="D155" s="49"/>
      <c r="E155" s="49"/>
      <c r="F155" s="49"/>
      <c r="G155" s="49"/>
      <c r="H155" s="49"/>
      <c r="I155" s="49"/>
      <c r="J155" s="49"/>
      <c r="K155" s="49"/>
    </row>
    <row r="156" spans="1:28" x14ac:dyDescent="0.2">
      <c r="A156" s="49"/>
      <c r="B156" s="49"/>
      <c r="C156" s="55" t="s">
        <v>614</v>
      </c>
      <c r="D156" s="74" t="s">
        <v>12</v>
      </c>
      <c r="E156" s="74"/>
      <c r="F156" s="74"/>
      <c r="G156" s="74"/>
      <c r="H156" s="74"/>
      <c r="I156" s="74"/>
      <c r="J156" s="74"/>
      <c r="K156" s="74"/>
    </row>
    <row r="157" spans="1:28" x14ac:dyDescent="0.2">
      <c r="A157" s="49"/>
      <c r="B157" s="49"/>
      <c r="C157" s="55" t="s">
        <v>615</v>
      </c>
      <c r="D157" s="74" t="s">
        <v>12</v>
      </c>
      <c r="E157" s="74"/>
      <c r="F157" s="74"/>
      <c r="G157" s="74"/>
      <c r="H157" s="74"/>
      <c r="I157" s="74"/>
      <c r="J157" s="74"/>
      <c r="K157" s="74"/>
    </row>
    <row r="158" spans="1:28" x14ac:dyDescent="0.2">
      <c r="A158" s="49"/>
      <c r="B158" s="49"/>
      <c r="C158" s="55" t="s">
        <v>616</v>
      </c>
      <c r="D158" s="74" t="s">
        <v>13</v>
      </c>
      <c r="E158" s="74"/>
      <c r="F158" s="74"/>
      <c r="G158" s="74"/>
      <c r="H158" s="74"/>
      <c r="I158" s="74"/>
      <c r="J158" s="74"/>
      <c r="K158" s="74"/>
    </row>
    <row r="159" spans="1:28" x14ac:dyDescent="0.2">
      <c r="A159" s="49"/>
      <c r="B159" s="49"/>
      <c r="C159" s="55" t="s">
        <v>617</v>
      </c>
      <c r="D159" s="74" t="s">
        <v>13</v>
      </c>
      <c r="E159" s="74"/>
      <c r="F159" s="74"/>
      <c r="G159" s="74"/>
      <c r="H159" s="74"/>
      <c r="I159" s="74"/>
      <c r="J159" s="74"/>
      <c r="K159" s="74"/>
    </row>
    <row r="160" spans="1:28" x14ac:dyDescent="0.2">
      <c r="A160" s="49"/>
      <c r="B160" s="49"/>
      <c r="C160" s="55" t="s">
        <v>618</v>
      </c>
      <c r="D160" s="74" t="s">
        <v>12</v>
      </c>
      <c r="E160" s="74"/>
      <c r="F160" s="74"/>
      <c r="G160" s="74"/>
      <c r="H160" s="74"/>
      <c r="I160" s="74"/>
      <c r="J160" s="74"/>
      <c r="K160" s="74"/>
    </row>
    <row r="161" spans="1:28" x14ac:dyDescent="0.2">
      <c r="A161" s="49"/>
      <c r="B161" s="49"/>
      <c r="C161" s="56" t="s">
        <v>611</v>
      </c>
      <c r="D161" s="57">
        <f>Source!BZ117</f>
        <v>142</v>
      </c>
      <c r="E161" s="58">
        <f>(Source!AF117+Source!AE117)*Source!FX117/100</f>
        <v>947.25359999999989</v>
      </c>
      <c r="F161" s="57"/>
      <c r="G161" s="58">
        <f>Source!X117</f>
        <v>1034.97</v>
      </c>
      <c r="H161" s="57" t="str">
        <f>CONCATENATE(Source!AT117)</f>
        <v>142</v>
      </c>
      <c r="I161" s="57"/>
      <c r="J161" s="57"/>
      <c r="K161" s="57"/>
    </row>
    <row r="162" spans="1:28" x14ac:dyDescent="0.2">
      <c r="A162" s="49"/>
      <c r="B162" s="49"/>
      <c r="C162" s="56" t="s">
        <v>612</v>
      </c>
      <c r="D162" s="57">
        <f>Source!CA117</f>
        <v>95</v>
      </c>
      <c r="E162" s="58">
        <f>(Source!AF117+Source!AE117)*Source!FY117/100</f>
        <v>538.66709999999989</v>
      </c>
      <c r="F162" s="57" t="str">
        <f>CONCATENATE(Source!DM117,Source!FU117, "=", Source!FY117, "%")</f>
        <v>*0,85=80,75%</v>
      </c>
      <c r="G162" s="58">
        <f>Source!Y117</f>
        <v>590.37</v>
      </c>
      <c r="H162" s="57" t="str">
        <f>CONCATENATE(Source!AU117)</f>
        <v>81</v>
      </c>
      <c r="I162" s="57"/>
      <c r="J162" s="57"/>
      <c r="K162" s="57"/>
    </row>
    <row r="163" spans="1:28" x14ac:dyDescent="0.2">
      <c r="A163" s="49"/>
      <c r="B163" s="49"/>
      <c r="C163" s="56" t="s">
        <v>613</v>
      </c>
      <c r="D163" s="57"/>
      <c r="E163" s="58">
        <f>((Source!AF117+Source!AE117)*Source!FX117/100)+((Source!AF117+Source!AE117)*Source!FY117/100)+Source!AB117</f>
        <v>45818.920700000002</v>
      </c>
      <c r="F163" s="57"/>
      <c r="G163" s="58">
        <f>Source!O117+Source!X117+Source!Y117</f>
        <v>50063.570000000007</v>
      </c>
      <c r="H163" s="57"/>
      <c r="I163" s="57"/>
      <c r="J163" s="57"/>
      <c r="K163" s="57"/>
    </row>
    <row r="164" spans="1:28" ht="99.75" x14ac:dyDescent="0.2">
      <c r="A164" s="50" t="str">
        <f>Source!E118</f>
        <v>15,1</v>
      </c>
      <c r="B164" s="50" t="str">
        <f>Source!F118</f>
        <v>410-0005</v>
      </c>
      <c r="C164" s="51" t="s">
        <v>620</v>
      </c>
      <c r="D164" s="52">
        <f>Source!I118</f>
        <v>-105.54516</v>
      </c>
      <c r="E164" s="53">
        <f>Source!AB118</f>
        <v>422.2</v>
      </c>
      <c r="F164" s="53">
        <f>Source!AD118</f>
        <v>0</v>
      </c>
      <c r="G164" s="53">
        <f>Source!O118</f>
        <v>-44561.17</v>
      </c>
      <c r="H164" s="53">
        <f>Source!S118</f>
        <v>0</v>
      </c>
      <c r="I164" s="53">
        <f>Source!Q118</f>
        <v>0</v>
      </c>
      <c r="J164" s="53">
        <f>Source!AH118</f>
        <v>0</v>
      </c>
      <c r="K164" s="53">
        <f>Source!U118</f>
        <v>0</v>
      </c>
      <c r="T164">
        <f>Source!O118+Source!X118+Source!Y118</f>
        <v>-44561.17</v>
      </c>
      <c r="U164">
        <f>Source!P118</f>
        <v>-44561.17</v>
      </c>
      <c r="V164">
        <f>Source!S118</f>
        <v>0</v>
      </c>
      <c r="W164">
        <f>Source!Q118</f>
        <v>0</v>
      </c>
      <c r="X164">
        <f>Source!R118</f>
        <v>0</v>
      </c>
      <c r="Y164">
        <f>Source!U118</f>
        <v>0</v>
      </c>
      <c r="Z164">
        <f>Source!V118</f>
        <v>0</v>
      </c>
      <c r="AA164">
        <f>Source!X118</f>
        <v>0</v>
      </c>
      <c r="AB164">
        <f>Source!Y118</f>
        <v>0</v>
      </c>
    </row>
    <row r="165" spans="1:28" ht="14.25" x14ac:dyDescent="0.2">
      <c r="A165" s="49"/>
      <c r="B165" s="49"/>
      <c r="C165" s="54" t="str">
        <f>Source!H118</f>
        <v>т</v>
      </c>
      <c r="D165" s="52"/>
      <c r="E165" s="53">
        <f>Source!AF118</f>
        <v>0</v>
      </c>
      <c r="F165" s="53">
        <f>Source!AE118</f>
        <v>0</v>
      </c>
      <c r="G165" s="53"/>
      <c r="H165" s="53"/>
      <c r="I165" s="53">
        <f>Source!R118</f>
        <v>0</v>
      </c>
      <c r="J165" s="53">
        <f>Source!AI118</f>
        <v>0</v>
      </c>
      <c r="K165" s="53">
        <f>Source!V118</f>
        <v>0</v>
      </c>
    </row>
    <row r="166" spans="1:28" ht="85.5" x14ac:dyDescent="0.2">
      <c r="A166" s="50" t="str">
        <f>Source!E119</f>
        <v>15,2</v>
      </c>
      <c r="B166" s="50" t="str">
        <f>Source!F119</f>
        <v>410-0007</v>
      </c>
      <c r="C166" s="51" t="str">
        <f>Source!G119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D166" s="52">
        <f>Source!I119</f>
        <v>105.54516</v>
      </c>
      <c r="E166" s="53">
        <f>Source!AB119</f>
        <v>444.48</v>
      </c>
      <c r="F166" s="53">
        <f>Source!AD119</f>
        <v>0</v>
      </c>
      <c r="G166" s="53">
        <f>Source!O119</f>
        <v>46912.71</v>
      </c>
      <c r="H166" s="53">
        <f>Source!S119</f>
        <v>0</v>
      </c>
      <c r="I166" s="53">
        <f>Source!Q119</f>
        <v>0</v>
      </c>
      <c r="J166" s="53">
        <f>Source!AH119</f>
        <v>0</v>
      </c>
      <c r="K166" s="53">
        <f>Source!U119</f>
        <v>0</v>
      </c>
      <c r="T166">
        <f>Source!O119+Source!X119+Source!Y119</f>
        <v>46912.71</v>
      </c>
      <c r="U166">
        <f>Source!P119</f>
        <v>46912.71</v>
      </c>
      <c r="V166">
        <f>Source!S119</f>
        <v>0</v>
      </c>
      <c r="W166">
        <f>Source!Q119</f>
        <v>0</v>
      </c>
      <c r="X166">
        <f>Source!R119</f>
        <v>0</v>
      </c>
      <c r="Y166">
        <f>Source!U119</f>
        <v>0</v>
      </c>
      <c r="Z166">
        <f>Source!V119</f>
        <v>0</v>
      </c>
      <c r="AA166">
        <f>Source!X119</f>
        <v>0</v>
      </c>
      <c r="AB166">
        <f>Source!Y119</f>
        <v>0</v>
      </c>
    </row>
    <row r="167" spans="1:28" ht="14.25" x14ac:dyDescent="0.2">
      <c r="A167" s="49"/>
      <c r="B167" s="49"/>
      <c r="C167" s="54" t="str">
        <f>Source!H119</f>
        <v>т</v>
      </c>
      <c r="D167" s="52"/>
      <c r="E167" s="53">
        <f>Source!AF119</f>
        <v>0</v>
      </c>
      <c r="F167" s="53">
        <f>Source!AE119</f>
        <v>0</v>
      </c>
      <c r="G167" s="53"/>
      <c r="H167" s="53"/>
      <c r="I167" s="53">
        <f>Source!R119</f>
        <v>0</v>
      </c>
      <c r="J167" s="53">
        <f>Source!AI119</f>
        <v>0</v>
      </c>
      <c r="K167" s="53">
        <f>Source!V119</f>
        <v>0</v>
      </c>
    </row>
    <row r="168" spans="1:28" ht="42.75" x14ac:dyDescent="0.2">
      <c r="A168" s="50" t="str">
        <f>Source!E120</f>
        <v>16</v>
      </c>
      <c r="B168" s="50" t="str">
        <f>Source!F120</f>
        <v>27-06-021-1</v>
      </c>
      <c r="C168" s="51" t="str">
        <f>Source!G120</f>
        <v>На каждые 0,5 см изменения толщины покрытия добавлять или исключать: к расценке 27-06-020-01</v>
      </c>
      <c r="D168" s="52">
        <f>Source!I120</f>
        <v>1.0926</v>
      </c>
      <c r="E168" s="53">
        <f>Source!AB120</f>
        <v>10230.959999999999</v>
      </c>
      <c r="F168" s="53">
        <f>Source!AD120</f>
        <v>7.75</v>
      </c>
      <c r="G168" s="53">
        <f>Source!O120</f>
        <v>11178.35</v>
      </c>
      <c r="H168" s="53">
        <f>Source!S120</f>
        <v>1.76</v>
      </c>
      <c r="I168" s="53">
        <f>Source!Q120</f>
        <v>8.4700000000000006</v>
      </c>
      <c r="J168" s="53">
        <f>Source!AH120</f>
        <v>0.20699999999999999</v>
      </c>
      <c r="K168" s="53">
        <f>Source!U120</f>
        <v>0.22616819999999999</v>
      </c>
      <c r="T168">
        <f>Source!O120+Source!X120+Source!Y120</f>
        <v>11182.28</v>
      </c>
      <c r="U168">
        <f>Source!P120</f>
        <v>11168.12</v>
      </c>
      <c r="V168">
        <f>Source!S120</f>
        <v>1.76</v>
      </c>
      <c r="W168">
        <f>Source!Q120</f>
        <v>8.4700000000000006</v>
      </c>
      <c r="X168">
        <f>Source!R120</f>
        <v>0</v>
      </c>
      <c r="Y168">
        <f>Source!U120</f>
        <v>0.22616819999999999</v>
      </c>
      <c r="Z168">
        <f>Source!V120</f>
        <v>0</v>
      </c>
      <c r="AA168">
        <f>Source!X120</f>
        <v>2.5</v>
      </c>
      <c r="AB168">
        <f>Source!Y120</f>
        <v>1.43</v>
      </c>
    </row>
    <row r="169" spans="1:28" ht="14.25" x14ac:dyDescent="0.2">
      <c r="A169" s="49"/>
      <c r="B169" s="49"/>
      <c r="C169" s="54" t="str">
        <f>Source!H120</f>
        <v>1000 м2 покрытия</v>
      </c>
      <c r="D169" s="52"/>
      <c r="E169" s="53">
        <f>Source!AF120</f>
        <v>1.61</v>
      </c>
      <c r="F169" s="53">
        <f>Source!AE120</f>
        <v>0</v>
      </c>
      <c r="G169" s="53"/>
      <c r="H169" s="53"/>
      <c r="I169" s="53">
        <f>Source!R120</f>
        <v>0</v>
      </c>
      <c r="J169" s="53">
        <f>Source!AI120</f>
        <v>0</v>
      </c>
      <c r="K169" s="53">
        <f>Source!V120</f>
        <v>0</v>
      </c>
    </row>
    <row r="170" spans="1:28" x14ac:dyDescent="0.2">
      <c r="A170" s="49"/>
      <c r="B170" s="49"/>
      <c r="C170" s="55" t="str">
        <f>"Объем: "&amp;Source!I120&amp;"=("&amp;Source!I117&amp;"*"&amp;"1000)/"&amp;"1000"</f>
        <v>Объем: 1,0926=(1,0926*1000)/1000</v>
      </c>
      <c r="D170" s="49"/>
      <c r="E170" s="49"/>
      <c r="F170" s="49"/>
      <c r="G170" s="49"/>
      <c r="H170" s="49"/>
      <c r="I170" s="49"/>
      <c r="J170" s="49"/>
      <c r="K170" s="49"/>
    </row>
    <row r="171" spans="1:28" x14ac:dyDescent="0.2">
      <c r="A171" s="49"/>
      <c r="B171" s="49"/>
      <c r="C171" s="55" t="s">
        <v>619</v>
      </c>
      <c r="D171" s="74" t="s">
        <v>158</v>
      </c>
      <c r="E171" s="74"/>
      <c r="F171" s="74"/>
      <c r="G171" s="74"/>
      <c r="H171" s="74"/>
      <c r="I171" s="74"/>
      <c r="J171" s="74"/>
      <c r="K171" s="74"/>
    </row>
    <row r="172" spans="1:28" x14ac:dyDescent="0.2">
      <c r="A172" s="49"/>
      <c r="B172" s="49"/>
      <c r="C172" s="55" t="s">
        <v>614</v>
      </c>
      <c r="D172" s="74" t="s">
        <v>159</v>
      </c>
      <c r="E172" s="74"/>
      <c r="F172" s="74"/>
      <c r="G172" s="74"/>
      <c r="H172" s="74"/>
      <c r="I172" s="74"/>
      <c r="J172" s="74"/>
      <c r="K172" s="74"/>
    </row>
    <row r="173" spans="1:28" x14ac:dyDescent="0.2">
      <c r="A173" s="49"/>
      <c r="B173" s="49"/>
      <c r="C173" s="55" t="s">
        <v>615</v>
      </c>
      <c r="D173" s="74" t="s">
        <v>159</v>
      </c>
      <c r="E173" s="74"/>
      <c r="F173" s="74"/>
      <c r="G173" s="74"/>
      <c r="H173" s="74"/>
      <c r="I173" s="74"/>
      <c r="J173" s="74"/>
      <c r="K173" s="74"/>
    </row>
    <row r="174" spans="1:28" x14ac:dyDescent="0.2">
      <c r="A174" s="49"/>
      <c r="B174" s="49"/>
      <c r="C174" s="55" t="s">
        <v>616</v>
      </c>
      <c r="D174" s="74" t="s">
        <v>160</v>
      </c>
      <c r="E174" s="74"/>
      <c r="F174" s="74"/>
      <c r="G174" s="74"/>
      <c r="H174" s="74"/>
      <c r="I174" s="74"/>
      <c r="J174" s="74"/>
      <c r="K174" s="74"/>
    </row>
    <row r="175" spans="1:28" x14ac:dyDescent="0.2">
      <c r="A175" s="49"/>
      <c r="B175" s="49"/>
      <c r="C175" s="55" t="s">
        <v>617</v>
      </c>
      <c r="D175" s="74" t="s">
        <v>160</v>
      </c>
      <c r="E175" s="74"/>
      <c r="F175" s="74"/>
      <c r="G175" s="74"/>
      <c r="H175" s="74"/>
      <c r="I175" s="74"/>
      <c r="J175" s="74"/>
      <c r="K175" s="74"/>
    </row>
    <row r="176" spans="1:28" x14ac:dyDescent="0.2">
      <c r="A176" s="49"/>
      <c r="B176" s="49"/>
      <c r="C176" s="55" t="s">
        <v>618</v>
      </c>
      <c r="D176" s="74" t="s">
        <v>159</v>
      </c>
      <c r="E176" s="74"/>
      <c r="F176" s="74"/>
      <c r="G176" s="74"/>
      <c r="H176" s="74"/>
      <c r="I176" s="74"/>
      <c r="J176" s="74"/>
      <c r="K176" s="74"/>
    </row>
    <row r="177" spans="1:28" x14ac:dyDescent="0.2">
      <c r="A177" s="49"/>
      <c r="B177" s="49"/>
      <c r="C177" s="56" t="s">
        <v>611</v>
      </c>
      <c r="D177" s="57">
        <f>Source!BZ120</f>
        <v>142</v>
      </c>
      <c r="E177" s="58">
        <f>(Source!AF120+Source!AE120)*Source!FX120/100</f>
        <v>2.2862</v>
      </c>
      <c r="F177" s="57"/>
      <c r="G177" s="58">
        <f>Source!X120</f>
        <v>2.5</v>
      </c>
      <c r="H177" s="57" t="str">
        <f>CONCATENATE(Source!AT120)</f>
        <v>142</v>
      </c>
      <c r="I177" s="57"/>
      <c r="J177" s="57"/>
      <c r="K177" s="57"/>
    </row>
    <row r="178" spans="1:28" x14ac:dyDescent="0.2">
      <c r="A178" s="49"/>
      <c r="B178" s="49"/>
      <c r="C178" s="56" t="s">
        <v>612</v>
      </c>
      <c r="D178" s="57">
        <f>Source!CA120</f>
        <v>95</v>
      </c>
      <c r="E178" s="58">
        <f>(Source!AF120+Source!AE120)*Source!FY120/100</f>
        <v>1.3000750000000003</v>
      </c>
      <c r="F178" s="57" t="str">
        <f>CONCATENATE(Source!DM120,Source!FU120, "=", Source!FY120, "%")</f>
        <v>*0,85=80,75%</v>
      </c>
      <c r="G178" s="58">
        <f>Source!Y120</f>
        <v>1.43</v>
      </c>
      <c r="H178" s="57" t="str">
        <f>CONCATENATE(Source!AU120)</f>
        <v>81</v>
      </c>
      <c r="I178" s="57"/>
      <c r="J178" s="57"/>
      <c r="K178" s="57"/>
    </row>
    <row r="179" spans="1:28" x14ac:dyDescent="0.2">
      <c r="A179" s="49"/>
      <c r="B179" s="49"/>
      <c r="C179" s="56" t="s">
        <v>613</v>
      </c>
      <c r="D179" s="57"/>
      <c r="E179" s="58">
        <f>((Source!AF120+Source!AE120)*Source!FX120/100)+((Source!AF120+Source!AE120)*Source!FY120/100)+Source!AB120</f>
        <v>10234.546274999999</v>
      </c>
      <c r="F179" s="57"/>
      <c r="G179" s="58">
        <f>Source!O120+Source!X120+Source!Y120</f>
        <v>11182.28</v>
      </c>
      <c r="H179" s="57"/>
      <c r="I179" s="57"/>
      <c r="J179" s="57"/>
      <c r="K179" s="57"/>
    </row>
    <row r="180" spans="1:28" ht="99.75" x14ac:dyDescent="0.2">
      <c r="A180" s="50" t="str">
        <f>Source!E121</f>
        <v>16,1</v>
      </c>
      <c r="B180" s="50" t="str">
        <f>Source!F121</f>
        <v>410-0005</v>
      </c>
      <c r="C180" s="51" t="s">
        <v>620</v>
      </c>
      <c r="D180" s="52">
        <f>Source!I121</f>
        <v>-26.440919999999998</v>
      </c>
      <c r="E180" s="53">
        <f>Source!AB121</f>
        <v>422.2</v>
      </c>
      <c r="F180" s="53">
        <f>Source!AD121</f>
        <v>0</v>
      </c>
      <c r="G180" s="53">
        <f>Source!O121</f>
        <v>-11163.36</v>
      </c>
      <c r="H180" s="53">
        <f>Source!S121</f>
        <v>0</v>
      </c>
      <c r="I180" s="53">
        <f>Source!Q121</f>
        <v>0</v>
      </c>
      <c r="J180" s="53">
        <f>Source!AH121</f>
        <v>0</v>
      </c>
      <c r="K180" s="53">
        <f>Source!U121</f>
        <v>0</v>
      </c>
      <c r="T180">
        <f>Source!O121+Source!X121+Source!Y121</f>
        <v>-11163.36</v>
      </c>
      <c r="U180">
        <f>Source!P121</f>
        <v>-11163.36</v>
      </c>
      <c r="V180">
        <f>Source!S121</f>
        <v>0</v>
      </c>
      <c r="W180">
        <f>Source!Q121</f>
        <v>0</v>
      </c>
      <c r="X180">
        <f>Source!R121</f>
        <v>0</v>
      </c>
      <c r="Y180">
        <f>Source!U121</f>
        <v>0</v>
      </c>
      <c r="Z180">
        <f>Source!V121</f>
        <v>0</v>
      </c>
      <c r="AA180">
        <f>Source!X121</f>
        <v>0</v>
      </c>
      <c r="AB180">
        <f>Source!Y121</f>
        <v>0</v>
      </c>
    </row>
    <row r="181" spans="1:28" ht="14.25" x14ac:dyDescent="0.2">
      <c r="A181" s="49"/>
      <c r="B181" s="49"/>
      <c r="C181" s="54" t="str">
        <f>Source!H121</f>
        <v>т</v>
      </c>
      <c r="D181" s="52"/>
      <c r="E181" s="53">
        <f>Source!AF121</f>
        <v>0</v>
      </c>
      <c r="F181" s="53">
        <f>Source!AE121</f>
        <v>0</v>
      </c>
      <c r="G181" s="53"/>
      <c r="H181" s="53"/>
      <c r="I181" s="53">
        <f>Source!R121</f>
        <v>0</v>
      </c>
      <c r="J181" s="53">
        <f>Source!AI121</f>
        <v>0</v>
      </c>
      <c r="K181" s="53">
        <f>Source!V121</f>
        <v>0</v>
      </c>
    </row>
    <row r="182" spans="1:28" ht="85.5" x14ac:dyDescent="0.2">
      <c r="A182" s="50" t="str">
        <f>Source!E122</f>
        <v>16,2</v>
      </c>
      <c r="B182" s="50" t="str">
        <f>Source!F122</f>
        <v>410-0007</v>
      </c>
      <c r="C182" s="51" t="str">
        <f>Source!G122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D182" s="52">
        <f>Source!I122</f>
        <v>26.440919999999998</v>
      </c>
      <c r="E182" s="53">
        <f>Source!AB122</f>
        <v>444.48</v>
      </c>
      <c r="F182" s="53">
        <f>Source!AD122</f>
        <v>0</v>
      </c>
      <c r="G182" s="53">
        <f>Source!O122</f>
        <v>11752.46</v>
      </c>
      <c r="H182" s="53">
        <f>Source!S122</f>
        <v>0</v>
      </c>
      <c r="I182" s="53">
        <f>Source!Q122</f>
        <v>0</v>
      </c>
      <c r="J182" s="53">
        <f>Source!AH122</f>
        <v>0</v>
      </c>
      <c r="K182" s="53">
        <f>Source!U122</f>
        <v>0</v>
      </c>
      <c r="T182">
        <f>Source!O122+Source!X122+Source!Y122</f>
        <v>11752.46</v>
      </c>
      <c r="U182">
        <f>Source!P122</f>
        <v>11752.46</v>
      </c>
      <c r="V182">
        <f>Source!S122</f>
        <v>0</v>
      </c>
      <c r="W182">
        <f>Source!Q122</f>
        <v>0</v>
      </c>
      <c r="X182">
        <f>Source!R122</f>
        <v>0</v>
      </c>
      <c r="Y182">
        <f>Source!U122</f>
        <v>0</v>
      </c>
      <c r="Z182">
        <f>Source!V122</f>
        <v>0</v>
      </c>
      <c r="AA182">
        <f>Source!X122</f>
        <v>0</v>
      </c>
      <c r="AB182">
        <f>Source!Y122</f>
        <v>0</v>
      </c>
    </row>
    <row r="183" spans="1:28" ht="14.25" x14ac:dyDescent="0.2">
      <c r="A183" s="49"/>
      <c r="B183" s="49"/>
      <c r="C183" s="54" t="str">
        <f>Source!H122</f>
        <v>т</v>
      </c>
      <c r="D183" s="52"/>
      <c r="E183" s="53">
        <f>Source!AF122</f>
        <v>0</v>
      </c>
      <c r="F183" s="53">
        <f>Source!AE122</f>
        <v>0</v>
      </c>
      <c r="G183" s="53"/>
      <c r="H183" s="53"/>
      <c r="I183" s="53">
        <f>Source!R122</f>
        <v>0</v>
      </c>
      <c r="J183" s="53">
        <f>Source!AI122</f>
        <v>0</v>
      </c>
      <c r="K183" s="53">
        <f>Source!V122</f>
        <v>0</v>
      </c>
    </row>
    <row r="184" spans="1:28" x14ac:dyDescent="0.2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</row>
    <row r="185" spans="1:28" ht="15" x14ac:dyDescent="0.25">
      <c r="A185" s="59"/>
      <c r="B185" s="59"/>
      <c r="C185" s="70" t="str">
        <f>CONCATENATE("Итого по подразделу: ",IF(Source!G124&lt;&gt;"Новый подраздел", Source!G124, ""))</f>
        <v>Итого по подразделу: Асфальт S=1092,55м2</v>
      </c>
      <c r="D185" s="70"/>
      <c r="E185" s="70"/>
      <c r="F185" s="70"/>
      <c r="G185" s="60">
        <f>IF(SUM(T70:T184)=0, "-", SUM(T70:T184))</f>
        <v>133565.79</v>
      </c>
      <c r="H185" s="60">
        <f>IF(SUM(V70:V184)=0, "-", SUM(V70:V184))</f>
        <v>897.41000000000008</v>
      </c>
      <c r="I185" s="60">
        <f>IF(SUM(W70:W184)=0, "-", SUM(W70:W184))</f>
        <v>9764.41</v>
      </c>
      <c r="J185" s="60"/>
      <c r="K185" s="60">
        <f>IF(SUM(Y70:Y184)=0, "-", SUM(Y70:Y184))</f>
        <v>118.04752875</v>
      </c>
    </row>
    <row r="186" spans="1:28" ht="15" x14ac:dyDescent="0.25">
      <c r="A186" s="59"/>
      <c r="B186" s="59"/>
      <c r="C186" s="59"/>
      <c r="D186" s="59"/>
      <c r="E186" s="59"/>
      <c r="F186" s="59"/>
      <c r="G186" s="60"/>
      <c r="H186" s="60"/>
      <c r="I186" s="60">
        <f>IF(SUM(X70:X184)=0, "-", SUM(X70:X184))</f>
        <v>974.78</v>
      </c>
      <c r="J186" s="60"/>
      <c r="K186" s="60">
        <f>IF(SUM(Z70:Z184)=0, "-", SUM(Z70:Z184))</f>
        <v>72.822434999999999</v>
      </c>
    </row>
    <row r="187" spans="1:28" x14ac:dyDescent="0.2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</row>
    <row r="188" spans="1:28" x14ac:dyDescent="0.2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</row>
    <row r="189" spans="1:28" x14ac:dyDescent="0.2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</row>
    <row r="190" spans="1:28" ht="16.5" x14ac:dyDescent="0.25">
      <c r="A190" s="75" t="str">
        <f>CONCATENATE("Подраздел: ",IF(Source!G154&lt;&gt;"Новый подраздел", Source!G154, ""))</f>
        <v>Подраздел: Установка бортовых камней БК 100.30.15 -331,2м</v>
      </c>
      <c r="B190" s="75"/>
      <c r="C190" s="75"/>
      <c r="D190" s="75"/>
      <c r="E190" s="75"/>
      <c r="F190" s="75"/>
      <c r="G190" s="75"/>
      <c r="H190" s="75"/>
      <c r="I190" s="75"/>
      <c r="J190" s="75"/>
      <c r="K190" s="75"/>
    </row>
    <row r="191" spans="1:28" ht="42.75" x14ac:dyDescent="0.2">
      <c r="A191" s="50" t="str">
        <f>Source!E158</f>
        <v>17</v>
      </c>
      <c r="B191" s="50" t="str">
        <f>Source!F158</f>
        <v>01-02-057-2</v>
      </c>
      <c r="C191" s="51" t="str">
        <f>Source!G158</f>
        <v>Разработка грунта вручную в траншеях глубиной до 2 м без креплений с откосами, группа грунтов: 2</v>
      </c>
      <c r="D191" s="52">
        <f>Source!I158</f>
        <v>0.29809999999999998</v>
      </c>
      <c r="E191" s="53">
        <f>Source!AB158</f>
        <v>1124.5899999999999</v>
      </c>
      <c r="F191" s="53">
        <f>Source!AD158</f>
        <v>0</v>
      </c>
      <c r="G191" s="53">
        <f>Source!O158</f>
        <v>335.24</v>
      </c>
      <c r="H191" s="53">
        <f>Source!S158</f>
        <v>335.24</v>
      </c>
      <c r="I191" s="53">
        <f>Source!Q158</f>
        <v>0</v>
      </c>
      <c r="J191" s="53">
        <f>Source!AH158</f>
        <v>177.1</v>
      </c>
      <c r="K191" s="53">
        <f>Source!U158</f>
        <v>52.793509999999991</v>
      </c>
      <c r="T191">
        <f>Source!O158+Source!X158+Source!Y158</f>
        <v>730.82</v>
      </c>
      <c r="U191">
        <f>Source!P158</f>
        <v>0</v>
      </c>
      <c r="V191">
        <f>Source!S158</f>
        <v>335.24</v>
      </c>
      <c r="W191">
        <f>Source!Q158</f>
        <v>0</v>
      </c>
      <c r="X191">
        <f>Source!R158</f>
        <v>0</v>
      </c>
      <c r="Y191">
        <f>Source!U158</f>
        <v>52.793509999999991</v>
      </c>
      <c r="Z191">
        <f>Source!V158</f>
        <v>0</v>
      </c>
      <c r="AA191">
        <f>Source!X158</f>
        <v>268.19</v>
      </c>
      <c r="AB191">
        <f>Source!Y158</f>
        <v>127.39</v>
      </c>
    </row>
    <row r="192" spans="1:28" ht="14.25" x14ac:dyDescent="0.2">
      <c r="A192" s="49"/>
      <c r="B192" s="49"/>
      <c r="C192" s="54" t="str">
        <f>Source!H158</f>
        <v>100 м3 грунта</v>
      </c>
      <c r="D192" s="52"/>
      <c r="E192" s="53">
        <f>Source!AF158</f>
        <v>1124.5899999999999</v>
      </c>
      <c r="F192" s="53">
        <f>Source!AE158</f>
        <v>0</v>
      </c>
      <c r="G192" s="53"/>
      <c r="H192" s="53"/>
      <c r="I192" s="53">
        <f>Source!R158</f>
        <v>0</v>
      </c>
      <c r="J192" s="53">
        <f>Source!AI158</f>
        <v>0</v>
      </c>
      <c r="K192" s="53">
        <f>Source!V158</f>
        <v>0</v>
      </c>
    </row>
    <row r="193" spans="1:28" x14ac:dyDescent="0.2">
      <c r="A193" s="49"/>
      <c r="B193" s="49"/>
      <c r="C193" s="55" t="str">
        <f>"Объем: "&amp;Source!I158&amp;"=("&amp;Source!I161&amp;"*"&amp;"100*"&amp;"0,09)/"&amp;"100"</f>
        <v>Объем: 0,2981=(3,312*100*0,09)/100</v>
      </c>
      <c r="D193" s="49"/>
      <c r="E193" s="49"/>
      <c r="F193" s="49"/>
      <c r="G193" s="49"/>
      <c r="H193" s="49"/>
      <c r="I193" s="49"/>
      <c r="J193" s="49"/>
      <c r="K193" s="49"/>
    </row>
    <row r="194" spans="1:28" x14ac:dyDescent="0.2">
      <c r="A194" s="49"/>
      <c r="B194" s="49"/>
      <c r="C194" s="55" t="s">
        <v>614</v>
      </c>
      <c r="D194" s="74" t="s">
        <v>12</v>
      </c>
      <c r="E194" s="74"/>
      <c r="F194" s="74"/>
      <c r="G194" s="74"/>
      <c r="H194" s="74"/>
      <c r="I194" s="74"/>
      <c r="J194" s="74"/>
      <c r="K194" s="74"/>
    </row>
    <row r="195" spans="1:28" x14ac:dyDescent="0.2">
      <c r="A195" s="49"/>
      <c r="B195" s="49"/>
      <c r="C195" s="55" t="s">
        <v>615</v>
      </c>
      <c r="D195" s="74" t="s">
        <v>12</v>
      </c>
      <c r="E195" s="74"/>
      <c r="F195" s="74"/>
      <c r="G195" s="74"/>
      <c r="H195" s="74"/>
      <c r="I195" s="74"/>
      <c r="J195" s="74"/>
      <c r="K195" s="74"/>
    </row>
    <row r="196" spans="1:28" x14ac:dyDescent="0.2">
      <c r="A196" s="49"/>
      <c r="B196" s="49"/>
      <c r="C196" s="55" t="s">
        <v>616</v>
      </c>
      <c r="D196" s="74" t="s">
        <v>13</v>
      </c>
      <c r="E196" s="74"/>
      <c r="F196" s="74"/>
      <c r="G196" s="74"/>
      <c r="H196" s="74"/>
      <c r="I196" s="74"/>
      <c r="J196" s="74"/>
      <c r="K196" s="74"/>
    </row>
    <row r="197" spans="1:28" x14ac:dyDescent="0.2">
      <c r="A197" s="49"/>
      <c r="B197" s="49"/>
      <c r="C197" s="55" t="s">
        <v>617</v>
      </c>
      <c r="D197" s="74" t="s">
        <v>13</v>
      </c>
      <c r="E197" s="74"/>
      <c r="F197" s="74"/>
      <c r="G197" s="74"/>
      <c r="H197" s="74"/>
      <c r="I197" s="74"/>
      <c r="J197" s="74"/>
      <c r="K197" s="74"/>
    </row>
    <row r="198" spans="1:28" x14ac:dyDescent="0.2">
      <c r="A198" s="49"/>
      <c r="B198" s="49"/>
      <c r="C198" s="55" t="s">
        <v>618</v>
      </c>
      <c r="D198" s="74" t="s">
        <v>12</v>
      </c>
      <c r="E198" s="74"/>
      <c r="F198" s="74"/>
      <c r="G198" s="74"/>
      <c r="H198" s="74"/>
      <c r="I198" s="74"/>
      <c r="J198" s="74"/>
      <c r="K198" s="74"/>
    </row>
    <row r="199" spans="1:28" x14ac:dyDescent="0.2">
      <c r="A199" s="49"/>
      <c r="B199" s="49"/>
      <c r="C199" s="56" t="s">
        <v>611</v>
      </c>
      <c r="D199" s="57">
        <f>Source!BZ158</f>
        <v>80</v>
      </c>
      <c r="E199" s="58">
        <f>(Source!AF158+Source!AE158)*Source!FX158/100</f>
        <v>899.67200000000003</v>
      </c>
      <c r="F199" s="57"/>
      <c r="G199" s="58">
        <f>Source!X158</f>
        <v>268.19</v>
      </c>
      <c r="H199" s="57" t="str">
        <f>CONCATENATE(Source!AT158)</f>
        <v>80</v>
      </c>
      <c r="I199" s="57"/>
      <c r="J199" s="57"/>
      <c r="K199" s="57"/>
    </row>
    <row r="200" spans="1:28" x14ac:dyDescent="0.2">
      <c r="A200" s="49"/>
      <c r="B200" s="49"/>
      <c r="C200" s="56" t="s">
        <v>612</v>
      </c>
      <c r="D200" s="57">
        <f>Source!CA158</f>
        <v>45</v>
      </c>
      <c r="E200" s="58">
        <f>(Source!AF158+Source!AE158)*Source!FY158/100</f>
        <v>430.15567499999997</v>
      </c>
      <c r="F200" s="57" t="str">
        <f>CONCATENATE(Source!DM158,Source!FU158, "=", Source!FY158, "%")</f>
        <v>*0,85=38,25%</v>
      </c>
      <c r="G200" s="58">
        <f>Source!Y158</f>
        <v>127.39</v>
      </c>
      <c r="H200" s="57" t="str">
        <f>CONCATENATE(Source!AU158)</f>
        <v>38</v>
      </c>
      <c r="I200" s="57"/>
      <c r="J200" s="57"/>
      <c r="K200" s="57"/>
    </row>
    <row r="201" spans="1:28" x14ac:dyDescent="0.2">
      <c r="A201" s="49"/>
      <c r="B201" s="49"/>
      <c r="C201" s="56" t="s">
        <v>613</v>
      </c>
      <c r="D201" s="57"/>
      <c r="E201" s="58">
        <f>((Source!AF158+Source!AE158)*Source!FX158/100)+((Source!AF158+Source!AE158)*Source!FY158/100)+Source!AB158</f>
        <v>2454.4176749999997</v>
      </c>
      <c r="F201" s="57"/>
      <c r="G201" s="58">
        <f>Source!O158+Source!X158+Source!Y158</f>
        <v>730.82</v>
      </c>
      <c r="H201" s="57"/>
      <c r="I201" s="57"/>
      <c r="J201" s="57"/>
      <c r="K201" s="57"/>
    </row>
    <row r="202" spans="1:28" ht="42.75" x14ac:dyDescent="0.2">
      <c r="A202" s="50" t="str">
        <f>Source!E159</f>
        <v>18</v>
      </c>
      <c r="B202" s="50" t="str">
        <f>Source!F159</f>
        <v>27-04-001-4</v>
      </c>
      <c r="C202" s="51" t="str">
        <f>Source!G159</f>
        <v>Устройство подстилающих и выравнивающих слоев оснований: из щебня</v>
      </c>
      <c r="D202" s="52">
        <f>Source!I159</f>
        <v>5.96E-2</v>
      </c>
      <c r="E202" s="53">
        <f>Source!AB159</f>
        <v>4369.42</v>
      </c>
      <c r="F202" s="53">
        <f>Source!AD159</f>
        <v>4170.55</v>
      </c>
      <c r="G202" s="53">
        <f>Source!O159</f>
        <v>260.41000000000003</v>
      </c>
      <c r="H202" s="53">
        <f>Source!S159</f>
        <v>10.91</v>
      </c>
      <c r="I202" s="53">
        <f>Source!Q159</f>
        <v>248.56</v>
      </c>
      <c r="J202" s="53">
        <f>Source!AH159</f>
        <v>27.8185</v>
      </c>
      <c r="K202" s="53">
        <f>Source!U159</f>
        <v>1.6579826</v>
      </c>
      <c r="T202">
        <f>Source!O159+Source!X159+Source!Y159</f>
        <v>330.18</v>
      </c>
      <c r="U202">
        <f>Source!P159</f>
        <v>0.94</v>
      </c>
      <c r="V202">
        <f>Source!S159</f>
        <v>10.91</v>
      </c>
      <c r="W202">
        <f>Source!Q159</f>
        <v>248.56</v>
      </c>
      <c r="X202">
        <f>Source!R159</f>
        <v>20.38</v>
      </c>
      <c r="Y202">
        <f>Source!U159</f>
        <v>1.6579826</v>
      </c>
      <c r="Z202">
        <f>Source!V159</f>
        <v>1.5347</v>
      </c>
      <c r="AA202">
        <f>Source!X159</f>
        <v>44.43</v>
      </c>
      <c r="AB202">
        <f>Source!Y159</f>
        <v>25.34</v>
      </c>
    </row>
    <row r="203" spans="1:28" ht="28.5" x14ac:dyDescent="0.2">
      <c r="A203" s="49"/>
      <c r="B203" s="49"/>
      <c r="C203" s="54" t="str">
        <f>Source!H159</f>
        <v>100 м3 материала основания (в плотном теле)</v>
      </c>
      <c r="D203" s="52"/>
      <c r="E203" s="53">
        <f>Source!AF159</f>
        <v>183.05</v>
      </c>
      <c r="F203" s="53">
        <f>Source!AE159</f>
        <v>341.96</v>
      </c>
      <c r="G203" s="53"/>
      <c r="H203" s="53"/>
      <c r="I203" s="53">
        <f>Source!R159</f>
        <v>20.38</v>
      </c>
      <c r="J203" s="53">
        <f>Source!AI159</f>
        <v>25.75</v>
      </c>
      <c r="K203" s="53">
        <f>Source!V159</f>
        <v>1.5347</v>
      </c>
    </row>
    <row r="204" spans="1:28" x14ac:dyDescent="0.2">
      <c r="A204" s="49"/>
      <c r="B204" s="49"/>
      <c r="C204" s="55" t="str">
        <f>"Объем: "&amp;Source!I159&amp;"=("&amp;Source!I161&amp;"*"&amp;"100*"&amp;"0,1*"&amp;"0,18)/"&amp;"100"</f>
        <v>Объем: 0,0596=(3,312*100*0,1*0,18)/100</v>
      </c>
      <c r="D204" s="49"/>
      <c r="E204" s="49"/>
      <c r="F204" s="49"/>
      <c r="G204" s="49"/>
      <c r="H204" s="49"/>
      <c r="I204" s="49"/>
      <c r="J204" s="49"/>
      <c r="K204" s="49"/>
    </row>
    <row r="205" spans="1:28" x14ac:dyDescent="0.2">
      <c r="A205" s="49"/>
      <c r="B205" s="49"/>
      <c r="C205" s="55" t="s">
        <v>614</v>
      </c>
      <c r="D205" s="74" t="s">
        <v>12</v>
      </c>
      <c r="E205" s="74"/>
      <c r="F205" s="74"/>
      <c r="G205" s="74"/>
      <c r="H205" s="74"/>
      <c r="I205" s="74"/>
      <c r="J205" s="74"/>
      <c r="K205" s="74"/>
    </row>
    <row r="206" spans="1:28" x14ac:dyDescent="0.2">
      <c r="A206" s="49"/>
      <c r="B206" s="49"/>
      <c r="C206" s="55" t="s">
        <v>615</v>
      </c>
      <c r="D206" s="74" t="s">
        <v>12</v>
      </c>
      <c r="E206" s="74"/>
      <c r="F206" s="74"/>
      <c r="G206" s="74"/>
      <c r="H206" s="74"/>
      <c r="I206" s="74"/>
      <c r="J206" s="74"/>
      <c r="K206" s="74"/>
    </row>
    <row r="207" spans="1:28" x14ac:dyDescent="0.2">
      <c r="A207" s="49"/>
      <c r="B207" s="49"/>
      <c r="C207" s="55" t="s">
        <v>616</v>
      </c>
      <c r="D207" s="74" t="s">
        <v>13</v>
      </c>
      <c r="E207" s="74"/>
      <c r="F207" s="74"/>
      <c r="G207" s="74"/>
      <c r="H207" s="74"/>
      <c r="I207" s="74"/>
      <c r="J207" s="74"/>
      <c r="K207" s="74"/>
    </row>
    <row r="208" spans="1:28" x14ac:dyDescent="0.2">
      <c r="A208" s="49"/>
      <c r="B208" s="49"/>
      <c r="C208" s="55" t="s">
        <v>617</v>
      </c>
      <c r="D208" s="74" t="s">
        <v>13</v>
      </c>
      <c r="E208" s="74"/>
      <c r="F208" s="74"/>
      <c r="G208" s="74"/>
      <c r="H208" s="74"/>
      <c r="I208" s="74"/>
      <c r="J208" s="74"/>
      <c r="K208" s="74"/>
    </row>
    <row r="209" spans="1:28" x14ac:dyDescent="0.2">
      <c r="A209" s="49"/>
      <c r="B209" s="49"/>
      <c r="C209" s="55" t="s">
        <v>618</v>
      </c>
      <c r="D209" s="74" t="s">
        <v>12</v>
      </c>
      <c r="E209" s="74"/>
      <c r="F209" s="74"/>
      <c r="G209" s="74"/>
      <c r="H209" s="74"/>
      <c r="I209" s="74"/>
      <c r="J209" s="74"/>
      <c r="K209" s="74"/>
    </row>
    <row r="210" spans="1:28" x14ac:dyDescent="0.2">
      <c r="A210" s="49"/>
      <c r="B210" s="49"/>
      <c r="C210" s="56" t="s">
        <v>611</v>
      </c>
      <c r="D210" s="57">
        <f>Source!BZ159</f>
        <v>142</v>
      </c>
      <c r="E210" s="58">
        <f>(Source!AF159+Source!AE159)*Source!FX159/100</f>
        <v>745.51419999999996</v>
      </c>
      <c r="F210" s="57"/>
      <c r="G210" s="58">
        <f>Source!X159</f>
        <v>44.43</v>
      </c>
      <c r="H210" s="57" t="str">
        <f>CONCATENATE(Source!AT159)</f>
        <v>142</v>
      </c>
      <c r="I210" s="57"/>
      <c r="J210" s="57"/>
      <c r="K210" s="57"/>
    </row>
    <row r="211" spans="1:28" x14ac:dyDescent="0.2">
      <c r="A211" s="49"/>
      <c r="B211" s="49"/>
      <c r="C211" s="56" t="s">
        <v>612</v>
      </c>
      <c r="D211" s="57">
        <f>Source!CA159</f>
        <v>95</v>
      </c>
      <c r="E211" s="58">
        <f>(Source!AF159+Source!AE159)*Source!FY159/100</f>
        <v>423.94557500000002</v>
      </c>
      <c r="F211" s="57" t="str">
        <f>CONCATENATE(Source!DM159,Source!FU159, "=", Source!FY159, "%")</f>
        <v>*0,85=80,75%</v>
      </c>
      <c r="G211" s="58">
        <f>Source!Y159</f>
        <v>25.34</v>
      </c>
      <c r="H211" s="57" t="str">
        <f>CONCATENATE(Source!AU159)</f>
        <v>81</v>
      </c>
      <c r="I211" s="57"/>
      <c r="J211" s="57"/>
      <c r="K211" s="57"/>
    </row>
    <row r="212" spans="1:28" x14ac:dyDescent="0.2">
      <c r="A212" s="49"/>
      <c r="B212" s="49"/>
      <c r="C212" s="56" t="s">
        <v>613</v>
      </c>
      <c r="D212" s="57"/>
      <c r="E212" s="58">
        <f>((Source!AF159+Source!AE159)*Source!FX159/100)+((Source!AF159+Source!AE159)*Source!FY159/100)+Source!AB159</f>
        <v>5538.8797750000003</v>
      </c>
      <c r="F212" s="57"/>
      <c r="G212" s="58">
        <f>Source!O159+Source!X159+Source!Y159</f>
        <v>330.18</v>
      </c>
      <c r="H212" s="57"/>
      <c r="I212" s="57"/>
      <c r="J212" s="57"/>
      <c r="K212" s="57"/>
    </row>
    <row r="213" spans="1:28" ht="42.75" x14ac:dyDescent="0.2">
      <c r="A213" s="50" t="str">
        <f>Source!E160</f>
        <v>18,1</v>
      </c>
      <c r="B213" s="50" t="str">
        <f>Source!F160</f>
        <v>408-0057</v>
      </c>
      <c r="C213" s="51" t="str">
        <f>Source!G160</f>
        <v>Щебень из природного камня для строительных работ марка 600, фракция 5 (3)-20 мм</v>
      </c>
      <c r="D213" s="52">
        <f>Source!I160</f>
        <v>7.5095999999999998</v>
      </c>
      <c r="E213" s="53">
        <f>Source!AB160</f>
        <v>127.2</v>
      </c>
      <c r="F213" s="53">
        <f>Source!AD160</f>
        <v>0</v>
      </c>
      <c r="G213" s="53">
        <f>Source!O160</f>
        <v>955.22</v>
      </c>
      <c r="H213" s="53">
        <f>Source!S160</f>
        <v>0</v>
      </c>
      <c r="I213" s="53">
        <f>Source!Q160</f>
        <v>0</v>
      </c>
      <c r="J213" s="53">
        <f>Source!AH160</f>
        <v>0</v>
      </c>
      <c r="K213" s="53">
        <f>Source!U160</f>
        <v>0</v>
      </c>
      <c r="T213">
        <f>Source!O160+Source!X160+Source!Y160</f>
        <v>955.22</v>
      </c>
      <c r="U213">
        <f>Source!P160</f>
        <v>955.22</v>
      </c>
      <c r="V213">
        <f>Source!S160</f>
        <v>0</v>
      </c>
      <c r="W213">
        <f>Source!Q160</f>
        <v>0</v>
      </c>
      <c r="X213">
        <f>Source!R160</f>
        <v>0</v>
      </c>
      <c r="Y213">
        <f>Source!U160</f>
        <v>0</v>
      </c>
      <c r="Z213">
        <f>Source!V160</f>
        <v>0</v>
      </c>
      <c r="AA213">
        <f>Source!X160</f>
        <v>0</v>
      </c>
      <c r="AB213">
        <f>Source!Y160</f>
        <v>0</v>
      </c>
    </row>
    <row r="214" spans="1:28" ht="14.25" x14ac:dyDescent="0.2">
      <c r="A214" s="49"/>
      <c r="B214" s="49"/>
      <c r="C214" s="54" t="str">
        <f>Source!H160</f>
        <v>м3</v>
      </c>
      <c r="D214" s="52"/>
      <c r="E214" s="53">
        <f>Source!AF160</f>
        <v>0</v>
      </c>
      <c r="F214" s="53">
        <f>Source!AE160</f>
        <v>0</v>
      </c>
      <c r="G214" s="53"/>
      <c r="H214" s="53"/>
      <c r="I214" s="53">
        <f>Source!R160</f>
        <v>0</v>
      </c>
      <c r="J214" s="53">
        <f>Source!AI160</f>
        <v>0</v>
      </c>
      <c r="K214" s="53">
        <f>Source!V160</f>
        <v>0</v>
      </c>
    </row>
    <row r="215" spans="1:28" ht="28.5" x14ac:dyDescent="0.2">
      <c r="A215" s="50" t="str">
        <f>Source!E161</f>
        <v>19</v>
      </c>
      <c r="B215" s="50" t="str">
        <f>Source!F161</f>
        <v>27-02-010-2</v>
      </c>
      <c r="C215" s="51" t="str">
        <f>Source!G161</f>
        <v>Установка бортовых камней бетонных: при других видах покрытий</v>
      </c>
      <c r="D215" s="52">
        <f>Source!I161</f>
        <v>3.3119999999999998</v>
      </c>
      <c r="E215" s="53">
        <f>Source!AB161</f>
        <v>4125.6400000000003</v>
      </c>
      <c r="F215" s="53">
        <f>Source!AD161</f>
        <v>99.32</v>
      </c>
      <c r="G215" s="53">
        <f>Source!O161</f>
        <v>13664.13</v>
      </c>
      <c r="H215" s="53">
        <f>Source!S161</f>
        <v>1993.63</v>
      </c>
      <c r="I215" s="53">
        <f>Source!Q161</f>
        <v>328.95</v>
      </c>
      <c r="J215" s="53">
        <f>Source!AH161</f>
        <v>87.49199999999999</v>
      </c>
      <c r="K215" s="53">
        <f>Source!U161</f>
        <v>289.77350399999995</v>
      </c>
      <c r="T215">
        <f>Source!O161+Source!X161+Source!Y161</f>
        <v>18193.239999999998</v>
      </c>
      <c r="U215">
        <f>Source!P161</f>
        <v>11341.55</v>
      </c>
      <c r="V215">
        <f>Source!S161</f>
        <v>1993.63</v>
      </c>
      <c r="W215">
        <f>Source!Q161</f>
        <v>328.95</v>
      </c>
      <c r="X215">
        <f>Source!R161</f>
        <v>37.36</v>
      </c>
      <c r="Y215">
        <f>Source!U161</f>
        <v>289.77350399999995</v>
      </c>
      <c r="Z215">
        <f>Source!V161</f>
        <v>2.8152000000000004</v>
      </c>
      <c r="AA215">
        <f>Source!X161</f>
        <v>2884.01</v>
      </c>
      <c r="AB215">
        <f>Source!Y161</f>
        <v>1645.1</v>
      </c>
    </row>
    <row r="216" spans="1:28" ht="14.25" x14ac:dyDescent="0.2">
      <c r="A216" s="49"/>
      <c r="B216" s="49"/>
      <c r="C216" s="54" t="str">
        <f>Source!H161</f>
        <v>100 м бортового камня</v>
      </c>
      <c r="D216" s="52"/>
      <c r="E216" s="53">
        <f>Source!AF161</f>
        <v>601.94000000000005</v>
      </c>
      <c r="F216" s="53">
        <f>Source!AE161</f>
        <v>11.28</v>
      </c>
      <c r="G216" s="53"/>
      <c r="H216" s="53"/>
      <c r="I216" s="53">
        <f>Source!R161</f>
        <v>37.36</v>
      </c>
      <c r="J216" s="53">
        <f>Source!AI161</f>
        <v>0.85000000000000009</v>
      </c>
      <c r="K216" s="53">
        <f>Source!V161</f>
        <v>2.8152000000000004</v>
      </c>
    </row>
    <row r="217" spans="1:28" x14ac:dyDescent="0.2">
      <c r="A217" s="49"/>
      <c r="B217" s="49"/>
      <c r="C217" s="55" t="str">
        <f>"Объем: "&amp;Source!I161&amp;"=331,2/"&amp;"100"</f>
        <v>Объем: 3,312=331,2/100</v>
      </c>
      <c r="D217" s="49"/>
      <c r="E217" s="49"/>
      <c r="F217" s="49"/>
      <c r="G217" s="49"/>
      <c r="H217" s="49"/>
      <c r="I217" s="49"/>
      <c r="J217" s="49"/>
      <c r="K217" s="49"/>
    </row>
    <row r="218" spans="1:28" x14ac:dyDescent="0.2">
      <c r="A218" s="49"/>
      <c r="B218" s="49"/>
      <c r="C218" s="55" t="s">
        <v>614</v>
      </c>
      <c r="D218" s="74" t="s">
        <v>12</v>
      </c>
      <c r="E218" s="74"/>
      <c r="F218" s="74"/>
      <c r="G218" s="74"/>
      <c r="H218" s="74"/>
      <c r="I218" s="74"/>
      <c r="J218" s="74"/>
      <c r="K218" s="74"/>
    </row>
    <row r="219" spans="1:28" x14ac:dyDescent="0.2">
      <c r="A219" s="49"/>
      <c r="B219" s="49"/>
      <c r="C219" s="55" t="s">
        <v>615</v>
      </c>
      <c r="D219" s="74" t="s">
        <v>12</v>
      </c>
      <c r="E219" s="74"/>
      <c r="F219" s="74"/>
      <c r="G219" s="74"/>
      <c r="H219" s="74"/>
      <c r="I219" s="74"/>
      <c r="J219" s="74"/>
      <c r="K219" s="74"/>
    </row>
    <row r="220" spans="1:28" x14ac:dyDescent="0.2">
      <c r="A220" s="49"/>
      <c r="B220" s="49"/>
      <c r="C220" s="55" t="s">
        <v>616</v>
      </c>
      <c r="D220" s="74" t="s">
        <v>13</v>
      </c>
      <c r="E220" s="74"/>
      <c r="F220" s="74"/>
      <c r="G220" s="74"/>
      <c r="H220" s="74"/>
      <c r="I220" s="74"/>
      <c r="J220" s="74"/>
      <c r="K220" s="74"/>
    </row>
    <row r="221" spans="1:28" x14ac:dyDescent="0.2">
      <c r="A221" s="49"/>
      <c r="B221" s="49"/>
      <c r="C221" s="55" t="s">
        <v>617</v>
      </c>
      <c r="D221" s="74" t="s">
        <v>13</v>
      </c>
      <c r="E221" s="74"/>
      <c r="F221" s="74"/>
      <c r="G221" s="74"/>
      <c r="H221" s="74"/>
      <c r="I221" s="74"/>
      <c r="J221" s="74"/>
      <c r="K221" s="74"/>
    </row>
    <row r="222" spans="1:28" x14ac:dyDescent="0.2">
      <c r="A222" s="49"/>
      <c r="B222" s="49"/>
      <c r="C222" s="55" t="s">
        <v>618</v>
      </c>
      <c r="D222" s="74" t="s">
        <v>12</v>
      </c>
      <c r="E222" s="74"/>
      <c r="F222" s="74"/>
      <c r="G222" s="74"/>
      <c r="H222" s="74"/>
      <c r="I222" s="74"/>
      <c r="J222" s="74"/>
      <c r="K222" s="74"/>
    </row>
    <row r="223" spans="1:28" x14ac:dyDescent="0.2">
      <c r="A223" s="49"/>
      <c r="B223" s="49"/>
      <c r="C223" s="56" t="s">
        <v>611</v>
      </c>
      <c r="D223" s="57">
        <f>Source!BZ161</f>
        <v>142</v>
      </c>
      <c r="E223" s="58">
        <f>(Source!AF161+Source!AE161)*Source!FX161/100</f>
        <v>870.77240000000006</v>
      </c>
      <c r="F223" s="57"/>
      <c r="G223" s="58">
        <f>Source!X161</f>
        <v>2884.01</v>
      </c>
      <c r="H223" s="57" t="str">
        <f>CONCATENATE(Source!AT161)</f>
        <v>142</v>
      </c>
      <c r="I223" s="57"/>
      <c r="J223" s="57"/>
      <c r="K223" s="57"/>
    </row>
    <row r="224" spans="1:28" x14ac:dyDescent="0.2">
      <c r="A224" s="49"/>
      <c r="B224" s="49"/>
      <c r="C224" s="56" t="s">
        <v>612</v>
      </c>
      <c r="D224" s="57">
        <f>Source!CA161</f>
        <v>95</v>
      </c>
      <c r="E224" s="58">
        <f>(Source!AF161+Source!AE161)*Source!FY161/100</f>
        <v>495.17514999999997</v>
      </c>
      <c r="F224" s="57" t="str">
        <f>CONCATENATE(Source!DM161,Source!FU161, "=", Source!FY161, "%")</f>
        <v>*0,85=80,75%</v>
      </c>
      <c r="G224" s="58">
        <f>Source!Y161</f>
        <v>1645.1</v>
      </c>
      <c r="H224" s="57" t="str">
        <f>CONCATENATE(Source!AU161)</f>
        <v>81</v>
      </c>
      <c r="I224" s="57"/>
      <c r="J224" s="57"/>
      <c r="K224" s="57"/>
    </row>
    <row r="225" spans="1:28" x14ac:dyDescent="0.2">
      <c r="A225" s="49"/>
      <c r="B225" s="49"/>
      <c r="C225" s="56" t="s">
        <v>613</v>
      </c>
      <c r="D225" s="57"/>
      <c r="E225" s="58">
        <f>((Source!AF161+Source!AE161)*Source!FX161/100)+((Source!AF161+Source!AE161)*Source!FY161/100)+Source!AB161</f>
        <v>5491.5875500000002</v>
      </c>
      <c r="F225" s="57"/>
      <c r="G225" s="58">
        <f>Source!O161+Source!X161+Source!Y161</f>
        <v>18193.239999999998</v>
      </c>
      <c r="H225" s="57"/>
      <c r="I225" s="57"/>
      <c r="J225" s="57"/>
      <c r="K225" s="57"/>
    </row>
    <row r="226" spans="1:28" ht="42.75" x14ac:dyDescent="0.2">
      <c r="A226" s="50" t="str">
        <f>Source!E162</f>
        <v>19,1</v>
      </c>
      <c r="B226" s="50" t="str">
        <f>Source!F162</f>
        <v>403-8021</v>
      </c>
      <c r="C226" s="51" t="str">
        <f>Source!G162</f>
        <v>Камни бортовые БР 100.30.15 /бетон В30 (М400), объем 0,043 м3/ (ГОСТ 6665-91)</v>
      </c>
      <c r="D226" s="52">
        <f>Source!I162</f>
        <v>331.2</v>
      </c>
      <c r="E226" s="53">
        <f>Source!AB162</f>
        <v>58.45</v>
      </c>
      <c r="F226" s="53">
        <f>Source!AD162</f>
        <v>0</v>
      </c>
      <c r="G226" s="53">
        <f>Source!O162</f>
        <v>19358.64</v>
      </c>
      <c r="H226" s="53">
        <f>Source!S162</f>
        <v>0</v>
      </c>
      <c r="I226" s="53">
        <f>Source!Q162</f>
        <v>0</v>
      </c>
      <c r="J226" s="53">
        <f>Source!AH162</f>
        <v>0</v>
      </c>
      <c r="K226" s="53">
        <f>Source!U162</f>
        <v>0</v>
      </c>
      <c r="T226">
        <f>Source!O162+Source!X162+Source!Y162</f>
        <v>19358.64</v>
      </c>
      <c r="U226">
        <f>Source!P162</f>
        <v>19358.64</v>
      </c>
      <c r="V226">
        <f>Source!S162</f>
        <v>0</v>
      </c>
      <c r="W226">
        <f>Source!Q162</f>
        <v>0</v>
      </c>
      <c r="X226">
        <f>Source!R162</f>
        <v>0</v>
      </c>
      <c r="Y226">
        <f>Source!U162</f>
        <v>0</v>
      </c>
      <c r="Z226">
        <f>Source!V162</f>
        <v>0</v>
      </c>
      <c r="AA226">
        <f>Source!X162</f>
        <v>0</v>
      </c>
      <c r="AB226">
        <f>Source!Y162</f>
        <v>0</v>
      </c>
    </row>
    <row r="227" spans="1:28" ht="14.25" x14ac:dyDescent="0.2">
      <c r="A227" s="49"/>
      <c r="B227" s="49"/>
      <c r="C227" s="54" t="str">
        <f>Source!H162</f>
        <v>шт.</v>
      </c>
      <c r="D227" s="52"/>
      <c r="E227" s="53">
        <f>Source!AF162</f>
        <v>0</v>
      </c>
      <c r="F227" s="53">
        <f>Source!AE162</f>
        <v>0</v>
      </c>
      <c r="G227" s="53"/>
      <c r="H227" s="53"/>
      <c r="I227" s="53">
        <f>Source!R162</f>
        <v>0</v>
      </c>
      <c r="J227" s="53">
        <f>Source!AI162</f>
        <v>0</v>
      </c>
      <c r="K227" s="53">
        <f>Source!V162</f>
        <v>0</v>
      </c>
    </row>
    <row r="228" spans="1:28" ht="28.5" x14ac:dyDescent="0.2">
      <c r="A228" s="50" t="str">
        <f>Source!E163</f>
        <v>20</v>
      </c>
      <c r="B228" s="50" t="str">
        <f>Source!F163</f>
        <v>01-02-061-1</v>
      </c>
      <c r="C228" s="51" t="str">
        <f>Source!G163</f>
        <v>Засыпка вручную траншей, пазух котлованов и ям, группа грунтов: 1</v>
      </c>
      <c r="D228" s="52">
        <f>Source!I163</f>
        <v>5.96E-2</v>
      </c>
      <c r="E228" s="53">
        <f>Source!AB163</f>
        <v>620.83000000000004</v>
      </c>
      <c r="F228" s="53">
        <f>Source!AD163</f>
        <v>0</v>
      </c>
      <c r="G228" s="53">
        <f>Source!O163</f>
        <v>37</v>
      </c>
      <c r="H228" s="53">
        <f>Source!S163</f>
        <v>37</v>
      </c>
      <c r="I228" s="53">
        <f>Source!Q163</f>
        <v>0</v>
      </c>
      <c r="J228" s="53">
        <f>Source!AH163</f>
        <v>101.77499999999999</v>
      </c>
      <c r="K228" s="53">
        <f>Source!U163</f>
        <v>6.0657899999999998</v>
      </c>
      <c r="T228">
        <f>Source!O163+Source!X163+Source!Y163</f>
        <v>80.66</v>
      </c>
      <c r="U228">
        <f>Source!P163</f>
        <v>0</v>
      </c>
      <c r="V228">
        <f>Source!S163</f>
        <v>37</v>
      </c>
      <c r="W228">
        <f>Source!Q163</f>
        <v>0</v>
      </c>
      <c r="X228">
        <f>Source!R163</f>
        <v>0</v>
      </c>
      <c r="Y228">
        <f>Source!U163</f>
        <v>6.0657899999999998</v>
      </c>
      <c r="Z228">
        <f>Source!V163</f>
        <v>0</v>
      </c>
      <c r="AA228">
        <f>Source!X163</f>
        <v>29.6</v>
      </c>
      <c r="AB228">
        <f>Source!Y163</f>
        <v>14.06</v>
      </c>
    </row>
    <row r="229" spans="1:28" ht="14.25" x14ac:dyDescent="0.2">
      <c r="A229" s="49"/>
      <c r="B229" s="49"/>
      <c r="C229" s="54" t="str">
        <f>Source!H163</f>
        <v>100 м3 грунта</v>
      </c>
      <c r="D229" s="52"/>
      <c r="E229" s="53">
        <f>Source!AF163</f>
        <v>620.83000000000004</v>
      </c>
      <c r="F229" s="53">
        <f>Source!AE163</f>
        <v>0</v>
      </c>
      <c r="G229" s="53"/>
      <c r="H229" s="53"/>
      <c r="I229" s="53">
        <f>Source!R163</f>
        <v>0</v>
      </c>
      <c r="J229" s="53">
        <f>Source!AI163</f>
        <v>0</v>
      </c>
      <c r="K229" s="53">
        <f>Source!V163</f>
        <v>0</v>
      </c>
    </row>
    <row r="230" spans="1:28" x14ac:dyDescent="0.2">
      <c r="A230" s="49"/>
      <c r="B230" s="49"/>
      <c r="C230" s="55" t="str">
        <f>"Объем: "&amp;Source!I163&amp;"=("&amp;Source!I161&amp;"*"&amp;"100*"&amp;"0,1*"&amp;"0,18)/"&amp;"100"</f>
        <v>Объем: 0,0596=(3,312*100*0,1*0,18)/100</v>
      </c>
      <c r="D230" s="49"/>
      <c r="E230" s="49"/>
      <c r="F230" s="49"/>
      <c r="G230" s="49"/>
      <c r="H230" s="49"/>
      <c r="I230" s="49"/>
      <c r="J230" s="49"/>
      <c r="K230" s="49"/>
    </row>
    <row r="231" spans="1:28" x14ac:dyDescent="0.2">
      <c r="A231" s="49"/>
      <c r="B231" s="49"/>
      <c r="C231" s="55" t="s">
        <v>614</v>
      </c>
      <c r="D231" s="74" t="s">
        <v>12</v>
      </c>
      <c r="E231" s="74"/>
      <c r="F231" s="74"/>
      <c r="G231" s="74"/>
      <c r="H231" s="74"/>
      <c r="I231" s="74"/>
      <c r="J231" s="74"/>
      <c r="K231" s="74"/>
    </row>
    <row r="232" spans="1:28" x14ac:dyDescent="0.2">
      <c r="A232" s="49"/>
      <c r="B232" s="49"/>
      <c r="C232" s="55" t="s">
        <v>615</v>
      </c>
      <c r="D232" s="74" t="s">
        <v>12</v>
      </c>
      <c r="E232" s="74"/>
      <c r="F232" s="74"/>
      <c r="G232" s="74"/>
      <c r="H232" s="74"/>
      <c r="I232" s="74"/>
      <c r="J232" s="74"/>
      <c r="K232" s="74"/>
    </row>
    <row r="233" spans="1:28" x14ac:dyDescent="0.2">
      <c r="A233" s="49"/>
      <c r="B233" s="49"/>
      <c r="C233" s="55" t="s">
        <v>616</v>
      </c>
      <c r="D233" s="74" t="s">
        <v>13</v>
      </c>
      <c r="E233" s="74"/>
      <c r="F233" s="74"/>
      <c r="G233" s="74"/>
      <c r="H233" s="74"/>
      <c r="I233" s="74"/>
      <c r="J233" s="74"/>
      <c r="K233" s="74"/>
    </row>
    <row r="234" spans="1:28" x14ac:dyDescent="0.2">
      <c r="A234" s="49"/>
      <c r="B234" s="49"/>
      <c r="C234" s="55" t="s">
        <v>617</v>
      </c>
      <c r="D234" s="74" t="s">
        <v>13</v>
      </c>
      <c r="E234" s="74"/>
      <c r="F234" s="74"/>
      <c r="G234" s="74"/>
      <c r="H234" s="74"/>
      <c r="I234" s="74"/>
      <c r="J234" s="74"/>
      <c r="K234" s="74"/>
    </row>
    <row r="235" spans="1:28" x14ac:dyDescent="0.2">
      <c r="A235" s="49"/>
      <c r="B235" s="49"/>
      <c r="C235" s="55" t="s">
        <v>618</v>
      </c>
      <c r="D235" s="74" t="s">
        <v>12</v>
      </c>
      <c r="E235" s="74"/>
      <c r="F235" s="74"/>
      <c r="G235" s="74"/>
      <c r="H235" s="74"/>
      <c r="I235" s="74"/>
      <c r="J235" s="74"/>
      <c r="K235" s="74"/>
    </row>
    <row r="236" spans="1:28" x14ac:dyDescent="0.2">
      <c r="A236" s="49"/>
      <c r="B236" s="49"/>
      <c r="C236" s="56" t="s">
        <v>611</v>
      </c>
      <c r="D236" s="57">
        <f>Source!BZ163</f>
        <v>80</v>
      </c>
      <c r="E236" s="58">
        <f>(Source!AF163+Source!AE163)*Source!FX163/100</f>
        <v>496.66399999999999</v>
      </c>
      <c r="F236" s="57"/>
      <c r="G236" s="58">
        <f>Source!X163</f>
        <v>29.6</v>
      </c>
      <c r="H236" s="57" t="str">
        <f>CONCATENATE(Source!AT163)</f>
        <v>80</v>
      </c>
      <c r="I236" s="57"/>
      <c r="J236" s="57"/>
      <c r="K236" s="57"/>
    </row>
    <row r="237" spans="1:28" x14ac:dyDescent="0.2">
      <c r="A237" s="49"/>
      <c r="B237" s="49"/>
      <c r="C237" s="56" t="s">
        <v>612</v>
      </c>
      <c r="D237" s="57">
        <f>Source!CA163</f>
        <v>45</v>
      </c>
      <c r="E237" s="58">
        <f>(Source!AF163+Source!AE163)*Source!FY163/100</f>
        <v>237.46747500000001</v>
      </c>
      <c r="F237" s="57" t="str">
        <f>CONCATENATE(Source!DM163,Source!FU163, "=", Source!FY163, "%")</f>
        <v>*0,85=38,25%</v>
      </c>
      <c r="G237" s="58">
        <f>Source!Y163</f>
        <v>14.06</v>
      </c>
      <c r="H237" s="57" t="str">
        <f>CONCATENATE(Source!AU163)</f>
        <v>38</v>
      </c>
      <c r="I237" s="57"/>
      <c r="J237" s="57"/>
      <c r="K237" s="57"/>
    </row>
    <row r="238" spans="1:28" x14ac:dyDescent="0.2">
      <c r="A238" s="49"/>
      <c r="B238" s="49"/>
      <c r="C238" s="56" t="s">
        <v>613</v>
      </c>
      <c r="D238" s="57"/>
      <c r="E238" s="58">
        <f>((Source!AF163+Source!AE163)*Source!FX163/100)+((Source!AF163+Source!AE163)*Source!FY163/100)+Source!AB163</f>
        <v>1354.9614750000001</v>
      </c>
      <c r="F238" s="57"/>
      <c r="G238" s="58">
        <f>Source!O163+Source!X163+Source!Y163</f>
        <v>80.66</v>
      </c>
      <c r="H238" s="57"/>
      <c r="I238" s="57"/>
      <c r="J238" s="57"/>
      <c r="K238" s="57"/>
    </row>
    <row r="239" spans="1:28" ht="42.75" x14ac:dyDescent="0.2">
      <c r="A239" s="50" t="str">
        <f>Source!E164</f>
        <v>21</v>
      </c>
      <c r="B239" s="50" t="str">
        <f>Source!F164</f>
        <v>пг01-01-01-039</v>
      </c>
      <c r="C239" s="51" t="str">
        <f>Source!G164</f>
        <v>Погрузочные работы при автомобильных перевозках: грунта растительного слоя (земля, перегной)</v>
      </c>
      <c r="D239" s="52">
        <f>Source!I164</f>
        <v>35.774999999999999</v>
      </c>
      <c r="E239" s="53">
        <f>Source!AB164</f>
        <v>4.25</v>
      </c>
      <c r="F239" s="53">
        <f>Source!AD164</f>
        <v>4.25</v>
      </c>
      <c r="G239" s="53">
        <f>Source!O164</f>
        <v>152.04</v>
      </c>
      <c r="H239" s="53">
        <f>Source!S164</f>
        <v>0</v>
      </c>
      <c r="I239" s="53">
        <f>Source!Q164</f>
        <v>152.04</v>
      </c>
      <c r="J239" s="53">
        <f>Source!AH164</f>
        <v>0</v>
      </c>
      <c r="K239" s="53">
        <f>Source!U164</f>
        <v>0</v>
      </c>
      <c r="T239">
        <f>Source!O164+Source!X164+Source!Y164</f>
        <v>152.04</v>
      </c>
      <c r="U239">
        <f>Source!P164</f>
        <v>0</v>
      </c>
      <c r="V239">
        <f>Source!S164</f>
        <v>0</v>
      </c>
      <c r="W239">
        <f>Source!Q164</f>
        <v>152.04</v>
      </c>
      <c r="X239">
        <f>Source!R164</f>
        <v>0</v>
      </c>
      <c r="Y239">
        <f>Source!U164</f>
        <v>0</v>
      </c>
      <c r="Z239">
        <f>Source!V164</f>
        <v>0</v>
      </c>
      <c r="AA239">
        <f>Source!X164</f>
        <v>0</v>
      </c>
      <c r="AB239">
        <f>Source!Y164</f>
        <v>0</v>
      </c>
    </row>
    <row r="240" spans="1:28" ht="14.25" x14ac:dyDescent="0.2">
      <c r="A240" s="49"/>
      <c r="B240" s="49"/>
      <c r="C240" s="54" t="str">
        <f>Source!H164</f>
        <v>1 Т ГРУЗА</v>
      </c>
      <c r="D240" s="52"/>
      <c r="E240" s="53">
        <f>Source!AF164</f>
        <v>0</v>
      </c>
      <c r="F240" s="53">
        <f>Source!AE164</f>
        <v>0</v>
      </c>
      <c r="G240" s="53"/>
      <c r="H240" s="53"/>
      <c r="I240" s="53">
        <f>Source!R164</f>
        <v>0</v>
      </c>
      <c r="J240" s="53">
        <f>Source!AI164</f>
        <v>0</v>
      </c>
      <c r="K240" s="53">
        <f>Source!V164</f>
        <v>0</v>
      </c>
    </row>
    <row r="241" spans="1:33" ht="25.5" x14ac:dyDescent="0.2">
      <c r="A241" s="49"/>
      <c r="B241" s="49"/>
      <c r="C241" s="55" t="str">
        <f>"Объем: "&amp;Source!I164&amp;"="&amp;Source!I158&amp;"*"&amp;"100*"&amp;"1,5-"&amp;""&amp;Source!I163&amp;"*"&amp;"100*"&amp;"1,5"</f>
        <v>Объем: 35,775=0,2981*100*1,5-0,0596*100*1,5</v>
      </c>
      <c r="D241" s="49"/>
      <c r="E241" s="49"/>
      <c r="F241" s="49"/>
      <c r="G241" s="49"/>
      <c r="H241" s="49"/>
      <c r="I241" s="49"/>
      <c r="J241" s="49"/>
      <c r="K241" s="49"/>
    </row>
    <row r="242" spans="1:33" ht="57" x14ac:dyDescent="0.2">
      <c r="A242" s="50" t="str">
        <f>Source!E165</f>
        <v>22</v>
      </c>
      <c r="B242" s="50" t="str">
        <f>Source!F165</f>
        <v>пг03-21-01-005</v>
      </c>
      <c r="C242" s="51" t="str">
        <f>Source!G165</f>
        <v>Перевозка грузов автомобилями-самосвалами грузоподъемностью 10 т, работающих вне карьера, на расстояние: до 5 км I класс груза</v>
      </c>
      <c r="D242" s="52">
        <f>Source!I165</f>
        <v>35.774999999999999</v>
      </c>
      <c r="E242" s="53">
        <f>Source!AB165</f>
        <v>6.65</v>
      </c>
      <c r="F242" s="53">
        <f>Source!AD165</f>
        <v>6.65</v>
      </c>
      <c r="G242" s="53">
        <f>Source!O165</f>
        <v>237.9</v>
      </c>
      <c r="H242" s="53">
        <f>Source!S165</f>
        <v>0</v>
      </c>
      <c r="I242" s="53">
        <f>Source!Q165</f>
        <v>237.9</v>
      </c>
      <c r="J242" s="53">
        <f>Source!AH165</f>
        <v>0</v>
      </c>
      <c r="K242" s="53">
        <f>Source!U165</f>
        <v>0</v>
      </c>
      <c r="T242">
        <f>Source!O165+Source!X165+Source!Y165</f>
        <v>237.9</v>
      </c>
      <c r="U242">
        <f>Source!P165</f>
        <v>0</v>
      </c>
      <c r="V242">
        <f>Source!S165</f>
        <v>0</v>
      </c>
      <c r="W242">
        <f>Source!Q165</f>
        <v>237.9</v>
      </c>
      <c r="X242">
        <f>Source!R165</f>
        <v>0</v>
      </c>
      <c r="Y242">
        <f>Source!U165</f>
        <v>0</v>
      </c>
      <c r="Z242">
        <f>Source!V165</f>
        <v>0</v>
      </c>
      <c r="AA242">
        <f>Source!X165</f>
        <v>0</v>
      </c>
      <c r="AB242">
        <f>Source!Y165</f>
        <v>0</v>
      </c>
    </row>
    <row r="243" spans="1:33" ht="14.25" x14ac:dyDescent="0.2">
      <c r="A243" s="49"/>
      <c r="B243" s="49"/>
      <c r="C243" s="54" t="str">
        <f>Source!H165</f>
        <v>1 Т ГРУЗА</v>
      </c>
      <c r="D243" s="52"/>
      <c r="E243" s="53">
        <f>Source!AF165</f>
        <v>0</v>
      </c>
      <c r="F243" s="53">
        <f>Source!AE165</f>
        <v>0</v>
      </c>
      <c r="G243" s="53"/>
      <c r="H243" s="53"/>
      <c r="I243" s="53">
        <f>Source!R165</f>
        <v>0</v>
      </c>
      <c r="J243" s="53">
        <f>Source!AI165</f>
        <v>0</v>
      </c>
      <c r="K243" s="53">
        <f>Source!V165</f>
        <v>0</v>
      </c>
    </row>
    <row r="244" spans="1:33" x14ac:dyDescent="0.2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</row>
    <row r="245" spans="1:33" ht="30" x14ac:dyDescent="0.25">
      <c r="A245" s="59"/>
      <c r="B245" s="59"/>
      <c r="C245" s="70" t="str">
        <f>CONCATENATE("Итого по подразделу: ",IF(Source!G167&lt;&gt;"Новый подраздел", Source!G167, ""))</f>
        <v>Итого по подразделу: Установка бортовых камней БК 100.30.15 -331,2м</v>
      </c>
      <c r="D245" s="70"/>
      <c r="E245" s="70"/>
      <c r="F245" s="70"/>
      <c r="G245" s="60">
        <f>IF(SUM(T190:T244)=0, "-", SUM(T190:T244))</f>
        <v>40038.700000000004</v>
      </c>
      <c r="H245" s="60">
        <f>IF(SUM(V190:V244)=0, "-", SUM(V190:V244))</f>
        <v>2376.7800000000002</v>
      </c>
      <c r="I245" s="60">
        <f>IF(SUM(W190:W244)=0, "-", SUM(W190:W244))</f>
        <v>967.44999999999993</v>
      </c>
      <c r="J245" s="60"/>
      <c r="K245" s="60">
        <f>IF(SUM(Y190:Y244)=0, "-", SUM(Y190:Y244))</f>
        <v>350.29078659999993</v>
      </c>
      <c r="AG245" s="14" t="str">
        <f>CONCATENATE("Итого по подразделу: ",IF(Source!G167&lt;&gt;"Новый подраздел", Source!G167, ""))</f>
        <v>Итого по подразделу: Установка бортовых камней БК 100.30.15 -331,2м</v>
      </c>
    </row>
    <row r="246" spans="1:33" ht="15" x14ac:dyDescent="0.25">
      <c r="A246" s="59"/>
      <c r="B246" s="59"/>
      <c r="C246" s="59"/>
      <c r="D246" s="59"/>
      <c r="E246" s="59"/>
      <c r="F246" s="59"/>
      <c r="G246" s="60"/>
      <c r="H246" s="60"/>
      <c r="I246" s="60">
        <f>IF(SUM(X190:X244)=0, "-", SUM(X190:X244))</f>
        <v>57.739999999999995</v>
      </c>
      <c r="J246" s="60"/>
      <c r="K246" s="60">
        <f>IF(SUM(Z190:Z244)=0, "-", SUM(Z190:Z244))</f>
        <v>4.3498999999999999</v>
      </c>
    </row>
    <row r="247" spans="1:33" x14ac:dyDescent="0.2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</row>
    <row r="248" spans="1:33" x14ac:dyDescent="0.2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</row>
    <row r="249" spans="1:33" x14ac:dyDescent="0.2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</row>
    <row r="250" spans="1:33" ht="16.5" x14ac:dyDescent="0.25">
      <c r="A250" s="75" t="str">
        <f>CONCATENATE("Подраздел: ",IF(Source!G197&lt;&gt;"Новый подраздел", Source!G197, ""))</f>
        <v>Подраздел: Установка урн</v>
      </c>
      <c r="B250" s="75"/>
      <c r="C250" s="75"/>
      <c r="D250" s="75"/>
      <c r="E250" s="75"/>
      <c r="F250" s="75"/>
      <c r="G250" s="75"/>
      <c r="H250" s="75"/>
      <c r="I250" s="75"/>
      <c r="J250" s="75"/>
      <c r="K250" s="75"/>
    </row>
    <row r="251" spans="1:33" ht="42.75" x14ac:dyDescent="0.2">
      <c r="A251" s="50" t="str">
        <f>Source!E201</f>
        <v>23</v>
      </c>
      <c r="B251" s="50" t="str">
        <f>Source!F201</f>
        <v>01-02-058-2</v>
      </c>
      <c r="C251" s="51" t="str">
        <f>Source!G201</f>
        <v>Копание ям вручную без креплений для стоек и столбов: без откосов глубиной до 0,7 м, группа грунтов 2</v>
      </c>
      <c r="D251" s="52">
        <f>Source!I201</f>
        <v>1.1000000000000001E-3</v>
      </c>
      <c r="E251" s="53">
        <f>Source!AB201</f>
        <v>2044.7</v>
      </c>
      <c r="F251" s="53">
        <f>Source!AD201</f>
        <v>0</v>
      </c>
      <c r="G251" s="53">
        <f>Source!O201</f>
        <v>2.25</v>
      </c>
      <c r="H251" s="53">
        <f>Source!S201</f>
        <v>2.25</v>
      </c>
      <c r="I251" s="53">
        <f>Source!Q201</f>
        <v>0</v>
      </c>
      <c r="J251" s="53">
        <f>Source!AH201</f>
        <v>322</v>
      </c>
      <c r="K251" s="53">
        <f>Source!U201</f>
        <v>0.35420000000000001</v>
      </c>
      <c r="T251">
        <f>Source!O201+Source!X201+Source!Y201</f>
        <v>4.91</v>
      </c>
      <c r="U251">
        <f>Source!P201</f>
        <v>0</v>
      </c>
      <c r="V251">
        <f>Source!S201</f>
        <v>2.25</v>
      </c>
      <c r="W251">
        <f>Source!Q201</f>
        <v>0</v>
      </c>
      <c r="X251">
        <f>Source!R201</f>
        <v>0</v>
      </c>
      <c r="Y251">
        <f>Source!U201</f>
        <v>0.35420000000000001</v>
      </c>
      <c r="Z251">
        <f>Source!V201</f>
        <v>0</v>
      </c>
      <c r="AA251">
        <f>Source!X201</f>
        <v>1.8</v>
      </c>
      <c r="AB251">
        <f>Source!Y201</f>
        <v>0.86</v>
      </c>
    </row>
    <row r="252" spans="1:33" ht="14.25" x14ac:dyDescent="0.2">
      <c r="A252" s="49"/>
      <c r="B252" s="49"/>
      <c r="C252" s="54" t="str">
        <f>Source!H201</f>
        <v>100 м3 грунта</v>
      </c>
      <c r="D252" s="52"/>
      <c r="E252" s="53">
        <f>Source!AF201</f>
        <v>2044.7</v>
      </c>
      <c r="F252" s="53">
        <f>Source!AE201</f>
        <v>0</v>
      </c>
      <c r="G252" s="53"/>
      <c r="H252" s="53"/>
      <c r="I252" s="53">
        <f>Source!R201</f>
        <v>0</v>
      </c>
      <c r="J252" s="53">
        <f>Source!AI201</f>
        <v>0</v>
      </c>
      <c r="K252" s="53">
        <f>Source!V201</f>
        <v>0</v>
      </c>
    </row>
    <row r="253" spans="1:33" x14ac:dyDescent="0.2">
      <c r="A253" s="49"/>
      <c r="B253" s="49"/>
      <c r="C253" s="55" t="str">
        <f>"Объем: "&amp;Source!I201&amp;"=("&amp;Source!I202&amp;"*"&amp;"2*"&amp;"0,2*"&amp;"0,2*"&amp;"0,7)/"&amp;"100"</f>
        <v>Объем: 0,0011=(2*2*0,2*0,2*0,7)/100</v>
      </c>
      <c r="D253" s="49"/>
      <c r="E253" s="49"/>
      <c r="F253" s="49"/>
      <c r="G253" s="49"/>
      <c r="H253" s="49"/>
      <c r="I253" s="49"/>
      <c r="J253" s="49"/>
      <c r="K253" s="49"/>
    </row>
    <row r="254" spans="1:33" x14ac:dyDescent="0.2">
      <c r="A254" s="49"/>
      <c r="B254" s="49"/>
      <c r="C254" s="55" t="s">
        <v>614</v>
      </c>
      <c r="D254" s="74" t="s">
        <v>12</v>
      </c>
      <c r="E254" s="74"/>
      <c r="F254" s="74"/>
      <c r="G254" s="74"/>
      <c r="H254" s="74"/>
      <c r="I254" s="74"/>
      <c r="J254" s="74"/>
      <c r="K254" s="74"/>
    </row>
    <row r="255" spans="1:33" x14ac:dyDescent="0.2">
      <c r="A255" s="49"/>
      <c r="B255" s="49"/>
      <c r="C255" s="55" t="s">
        <v>615</v>
      </c>
      <c r="D255" s="74" t="s">
        <v>12</v>
      </c>
      <c r="E255" s="74"/>
      <c r="F255" s="74"/>
      <c r="G255" s="74"/>
      <c r="H255" s="74"/>
      <c r="I255" s="74"/>
      <c r="J255" s="74"/>
      <c r="K255" s="74"/>
    </row>
    <row r="256" spans="1:33" x14ac:dyDescent="0.2">
      <c r="A256" s="49"/>
      <c r="B256" s="49"/>
      <c r="C256" s="55" t="s">
        <v>616</v>
      </c>
      <c r="D256" s="74" t="s">
        <v>13</v>
      </c>
      <c r="E256" s="74"/>
      <c r="F256" s="74"/>
      <c r="G256" s="74"/>
      <c r="H256" s="74"/>
      <c r="I256" s="74"/>
      <c r="J256" s="74"/>
      <c r="K256" s="74"/>
    </row>
    <row r="257" spans="1:28" x14ac:dyDescent="0.2">
      <c r="A257" s="49"/>
      <c r="B257" s="49"/>
      <c r="C257" s="55" t="s">
        <v>617</v>
      </c>
      <c r="D257" s="74" t="s">
        <v>13</v>
      </c>
      <c r="E257" s="74"/>
      <c r="F257" s="74"/>
      <c r="G257" s="74"/>
      <c r="H257" s="74"/>
      <c r="I257" s="74"/>
      <c r="J257" s="74"/>
      <c r="K257" s="74"/>
    </row>
    <row r="258" spans="1:28" x14ac:dyDescent="0.2">
      <c r="A258" s="49"/>
      <c r="B258" s="49"/>
      <c r="C258" s="55" t="s">
        <v>618</v>
      </c>
      <c r="D258" s="74" t="s">
        <v>12</v>
      </c>
      <c r="E258" s="74"/>
      <c r="F258" s="74"/>
      <c r="G258" s="74"/>
      <c r="H258" s="74"/>
      <c r="I258" s="74"/>
      <c r="J258" s="74"/>
      <c r="K258" s="74"/>
    </row>
    <row r="259" spans="1:28" x14ac:dyDescent="0.2">
      <c r="A259" s="49"/>
      <c r="B259" s="49"/>
      <c r="C259" s="56" t="s">
        <v>611</v>
      </c>
      <c r="D259" s="57">
        <f>Source!BZ201</f>
        <v>80</v>
      </c>
      <c r="E259" s="58">
        <f>(Source!AF201+Source!AE201)*Source!FX201/100</f>
        <v>1635.76</v>
      </c>
      <c r="F259" s="57"/>
      <c r="G259" s="58">
        <f>Source!X201</f>
        <v>1.8</v>
      </c>
      <c r="H259" s="57" t="str">
        <f>CONCATENATE(Source!AT201)</f>
        <v>80</v>
      </c>
      <c r="I259" s="57"/>
      <c r="J259" s="57"/>
      <c r="K259" s="57"/>
    </row>
    <row r="260" spans="1:28" x14ac:dyDescent="0.2">
      <c r="A260" s="49"/>
      <c r="B260" s="49"/>
      <c r="C260" s="56" t="s">
        <v>612</v>
      </c>
      <c r="D260" s="57">
        <f>Source!CA201</f>
        <v>45</v>
      </c>
      <c r="E260" s="58">
        <f>(Source!AF201+Source!AE201)*Source!FY201/100</f>
        <v>782.09775000000013</v>
      </c>
      <c r="F260" s="57" t="str">
        <f>CONCATENATE(Source!DM201,Source!FU201, "=", Source!FY201, "%")</f>
        <v>*0,85=38,25%</v>
      </c>
      <c r="G260" s="58">
        <f>Source!Y201</f>
        <v>0.86</v>
      </c>
      <c r="H260" s="57" t="str">
        <f>CONCATENATE(Source!AU201)</f>
        <v>38</v>
      </c>
      <c r="I260" s="57"/>
      <c r="J260" s="57"/>
      <c r="K260" s="57"/>
    </row>
    <row r="261" spans="1:28" x14ac:dyDescent="0.2">
      <c r="A261" s="49"/>
      <c r="B261" s="49"/>
      <c r="C261" s="56" t="s">
        <v>613</v>
      </c>
      <c r="D261" s="57"/>
      <c r="E261" s="58">
        <f>((Source!AF201+Source!AE201)*Source!FX201/100)+((Source!AF201+Source!AE201)*Source!FY201/100)+Source!AB201</f>
        <v>4462.5577499999999</v>
      </c>
      <c r="F261" s="57"/>
      <c r="G261" s="58">
        <f>Source!O201+Source!X201+Source!Y201</f>
        <v>4.91</v>
      </c>
      <c r="H261" s="57"/>
      <c r="I261" s="57"/>
      <c r="J261" s="57"/>
      <c r="K261" s="57"/>
    </row>
    <row r="262" spans="1:28" ht="168" x14ac:dyDescent="0.2">
      <c r="A262" s="50" t="str">
        <f>Source!E202</f>
        <v>24</v>
      </c>
      <c r="B262" s="50" t="str">
        <f>Source!F202</f>
        <v>Прайс-лист</v>
      </c>
      <c r="C262" s="51" t="s">
        <v>621</v>
      </c>
      <c r="D262" s="52">
        <f>Source!I202</f>
        <v>2</v>
      </c>
      <c r="E262" s="53">
        <f>Source!AB202</f>
        <v>724.73</v>
      </c>
      <c r="F262" s="53">
        <f>Source!AD202</f>
        <v>0</v>
      </c>
      <c r="G262" s="53">
        <f>Source!O202</f>
        <v>1449.46</v>
      </c>
      <c r="H262" s="53">
        <f>Source!S202</f>
        <v>0</v>
      </c>
      <c r="I262" s="53">
        <f>Source!Q202</f>
        <v>0</v>
      </c>
      <c r="J262" s="53">
        <f>Source!AH202</f>
        <v>0</v>
      </c>
      <c r="K262" s="53">
        <f>Source!U202</f>
        <v>0</v>
      </c>
      <c r="T262">
        <f>Source!O202+Source!X202+Source!Y202</f>
        <v>1449.46</v>
      </c>
      <c r="U262">
        <f>Source!P202</f>
        <v>1449.46</v>
      </c>
      <c r="V262">
        <f>Source!S202</f>
        <v>0</v>
      </c>
      <c r="W262">
        <f>Source!Q202</f>
        <v>0</v>
      </c>
      <c r="X262">
        <f>Source!R202</f>
        <v>0</v>
      </c>
      <c r="Y262">
        <f>Source!U202</f>
        <v>0</v>
      </c>
      <c r="Z262">
        <f>Source!V202</f>
        <v>0</v>
      </c>
      <c r="AA262">
        <f>Source!X202</f>
        <v>0</v>
      </c>
      <c r="AB262">
        <f>Source!Y202</f>
        <v>0</v>
      </c>
    </row>
    <row r="263" spans="1:28" ht="14.25" x14ac:dyDescent="0.2">
      <c r="A263" s="49"/>
      <c r="B263" s="49"/>
      <c r="C263" s="54" t="str">
        <f>Source!H202</f>
        <v>ШТ</v>
      </c>
      <c r="D263" s="52"/>
      <c r="E263" s="53">
        <f>Source!AF202</f>
        <v>0</v>
      </c>
      <c r="F263" s="53">
        <f>Source!AE202</f>
        <v>0</v>
      </c>
      <c r="G263" s="53"/>
      <c r="H263" s="53"/>
      <c r="I263" s="53">
        <f>Source!R202</f>
        <v>0</v>
      </c>
      <c r="J263" s="53">
        <f>Source!AI202</f>
        <v>0</v>
      </c>
      <c r="K263" s="53">
        <f>Source!V202</f>
        <v>0</v>
      </c>
    </row>
    <row r="264" spans="1:28" ht="14.25" x14ac:dyDescent="0.2">
      <c r="A264" s="50" t="str">
        <f>Source!E203</f>
        <v>25</v>
      </c>
      <c r="B264" s="50" t="str">
        <f>Source!F203</f>
        <v>06-01-001-1</v>
      </c>
      <c r="C264" s="51" t="str">
        <f>Source!G203</f>
        <v>Устройство бетонной подготовки</v>
      </c>
      <c r="D264" s="52">
        <f>Source!I203</f>
        <v>5.9999999999999995E-4</v>
      </c>
      <c r="E264" s="53">
        <f>Source!AB203</f>
        <v>54712.6</v>
      </c>
      <c r="F264" s="53">
        <f>Source!AD203</f>
        <v>1982.66</v>
      </c>
      <c r="G264" s="53">
        <f>Source!O203</f>
        <v>32.83</v>
      </c>
      <c r="H264" s="53">
        <f>Source!S203</f>
        <v>0.79</v>
      </c>
      <c r="I264" s="53">
        <f>Source!Q203</f>
        <v>1.19</v>
      </c>
      <c r="J264" s="53">
        <f>Source!AH203</f>
        <v>206.99999999999997</v>
      </c>
      <c r="K264" s="53">
        <f>Source!U203</f>
        <v>0.12419999999999998</v>
      </c>
      <c r="T264">
        <f>Source!O203+Source!X203+Source!Y203</f>
        <v>34.380000000000003</v>
      </c>
      <c r="U264">
        <f>Source!P203</f>
        <v>30.85</v>
      </c>
      <c r="V264">
        <f>Source!S203</f>
        <v>0.79</v>
      </c>
      <c r="W264">
        <f>Source!Q203</f>
        <v>1.19</v>
      </c>
      <c r="X264">
        <f>Source!R203</f>
        <v>0.18</v>
      </c>
      <c r="Y264">
        <f>Source!U203</f>
        <v>0.12419999999999998</v>
      </c>
      <c r="Z264">
        <f>Source!V203</f>
        <v>1.3499999999999998E-2</v>
      </c>
      <c r="AA264">
        <f>Source!X203</f>
        <v>1.02</v>
      </c>
      <c r="AB264">
        <f>Source!Y203</f>
        <v>0.53</v>
      </c>
    </row>
    <row r="265" spans="1:28" ht="28.5" x14ac:dyDescent="0.2">
      <c r="A265" s="49"/>
      <c r="B265" s="49"/>
      <c r="C265" s="54" t="str">
        <f>Source!H203</f>
        <v>100 м3 бетона, бутобетона и железобетона в деле</v>
      </c>
      <c r="D265" s="52"/>
      <c r="E265" s="53">
        <f>Source!AF203</f>
        <v>1314.45</v>
      </c>
      <c r="F265" s="53">
        <f>Source!AE203</f>
        <v>298.35000000000002</v>
      </c>
      <c r="G265" s="53"/>
      <c r="H265" s="53"/>
      <c r="I265" s="53">
        <f>Source!R203</f>
        <v>0.18</v>
      </c>
      <c r="J265" s="53">
        <f>Source!AI203</f>
        <v>22.5</v>
      </c>
      <c r="K265" s="53">
        <f>Source!V203</f>
        <v>1.3499999999999998E-2</v>
      </c>
    </row>
    <row r="266" spans="1:28" x14ac:dyDescent="0.2">
      <c r="A266" s="49"/>
      <c r="B266" s="49"/>
      <c r="C266" s="55" t="str">
        <f>"Объем: "&amp;Source!I203&amp;"=("&amp;Source!I201&amp;"*"&amp;"100/"&amp;"2)/"&amp;"100"</f>
        <v>Объем: 0,0006=(0,0011*100/2)/100</v>
      </c>
      <c r="D266" s="49"/>
      <c r="E266" s="49"/>
      <c r="F266" s="49"/>
      <c r="G266" s="49"/>
      <c r="H266" s="49"/>
      <c r="I266" s="49"/>
      <c r="J266" s="49"/>
      <c r="K266" s="49"/>
    </row>
    <row r="267" spans="1:28" x14ac:dyDescent="0.2">
      <c r="A267" s="49"/>
      <c r="B267" s="49"/>
      <c r="C267" s="55" t="s">
        <v>614</v>
      </c>
      <c r="D267" s="74" t="s">
        <v>12</v>
      </c>
      <c r="E267" s="74"/>
      <c r="F267" s="74"/>
      <c r="G267" s="74"/>
      <c r="H267" s="74"/>
      <c r="I267" s="74"/>
      <c r="J267" s="74"/>
      <c r="K267" s="74"/>
    </row>
    <row r="268" spans="1:28" x14ac:dyDescent="0.2">
      <c r="A268" s="49"/>
      <c r="B268" s="49"/>
      <c r="C268" s="55" t="s">
        <v>615</v>
      </c>
      <c r="D268" s="74" t="s">
        <v>12</v>
      </c>
      <c r="E268" s="74"/>
      <c r="F268" s="74"/>
      <c r="G268" s="74"/>
      <c r="H268" s="74"/>
      <c r="I268" s="74"/>
      <c r="J268" s="74"/>
      <c r="K268" s="74"/>
    </row>
    <row r="269" spans="1:28" x14ac:dyDescent="0.2">
      <c r="A269" s="49"/>
      <c r="B269" s="49"/>
      <c r="C269" s="55" t="s">
        <v>616</v>
      </c>
      <c r="D269" s="74" t="s">
        <v>13</v>
      </c>
      <c r="E269" s="74"/>
      <c r="F269" s="74"/>
      <c r="G269" s="74"/>
      <c r="H269" s="74"/>
      <c r="I269" s="74"/>
      <c r="J269" s="74"/>
      <c r="K269" s="74"/>
    </row>
    <row r="270" spans="1:28" x14ac:dyDescent="0.2">
      <c r="A270" s="49"/>
      <c r="B270" s="49"/>
      <c r="C270" s="55" t="s">
        <v>617</v>
      </c>
      <c r="D270" s="74" t="s">
        <v>13</v>
      </c>
      <c r="E270" s="74"/>
      <c r="F270" s="74"/>
      <c r="G270" s="74"/>
      <c r="H270" s="74"/>
      <c r="I270" s="74"/>
      <c r="J270" s="74"/>
      <c r="K270" s="74"/>
    </row>
    <row r="271" spans="1:28" x14ac:dyDescent="0.2">
      <c r="A271" s="49"/>
      <c r="B271" s="49"/>
      <c r="C271" s="55" t="s">
        <v>618</v>
      </c>
      <c r="D271" s="74" t="s">
        <v>12</v>
      </c>
      <c r="E271" s="74"/>
      <c r="F271" s="74"/>
      <c r="G271" s="74"/>
      <c r="H271" s="74"/>
      <c r="I271" s="74"/>
      <c r="J271" s="74"/>
      <c r="K271" s="74"/>
    </row>
    <row r="272" spans="1:28" x14ac:dyDescent="0.2">
      <c r="A272" s="49"/>
      <c r="B272" s="49"/>
      <c r="C272" s="56" t="s">
        <v>611</v>
      </c>
      <c r="D272" s="57">
        <f>Source!BZ203</f>
        <v>105</v>
      </c>
      <c r="E272" s="58">
        <f>(Source!AF203+Source!AE203)*Source!FX203/100</f>
        <v>1693.4400000000003</v>
      </c>
      <c r="F272" s="57"/>
      <c r="G272" s="58">
        <f>Source!X203</f>
        <v>1.02</v>
      </c>
      <c r="H272" s="57" t="str">
        <f>CONCATENATE(Source!AT203)</f>
        <v>105</v>
      </c>
      <c r="I272" s="57"/>
      <c r="J272" s="57"/>
      <c r="K272" s="57"/>
    </row>
    <row r="273" spans="1:28" x14ac:dyDescent="0.2">
      <c r="A273" s="49"/>
      <c r="B273" s="49"/>
      <c r="C273" s="56" t="s">
        <v>612</v>
      </c>
      <c r="D273" s="57">
        <f>Source!CA203</f>
        <v>65</v>
      </c>
      <c r="E273" s="58">
        <f>(Source!AF203+Source!AE203)*Source!FY203/100</f>
        <v>891.07200000000012</v>
      </c>
      <c r="F273" s="57" t="str">
        <f>CONCATENATE(Source!DM203,Source!FU203, "=", Source!FY203, "%")</f>
        <v>*0,85=55,25%</v>
      </c>
      <c r="G273" s="58">
        <f>Source!Y203</f>
        <v>0.53</v>
      </c>
      <c r="H273" s="57" t="str">
        <f>CONCATENATE(Source!AU203)</f>
        <v>55</v>
      </c>
      <c r="I273" s="57"/>
      <c r="J273" s="57"/>
      <c r="K273" s="57"/>
    </row>
    <row r="274" spans="1:28" x14ac:dyDescent="0.2">
      <c r="A274" s="49"/>
      <c r="B274" s="49"/>
      <c r="C274" s="56" t="s">
        <v>613</v>
      </c>
      <c r="D274" s="57"/>
      <c r="E274" s="58">
        <f>((Source!AF203+Source!AE203)*Source!FX203/100)+((Source!AF203+Source!AE203)*Source!FY203/100)+Source!AB203</f>
        <v>57297.112000000001</v>
      </c>
      <c r="F274" s="57"/>
      <c r="G274" s="58">
        <f>Source!O203+Source!X203+Source!Y203</f>
        <v>34.380000000000003</v>
      </c>
      <c r="H274" s="57"/>
      <c r="I274" s="57"/>
      <c r="J274" s="57"/>
      <c r="K274" s="57"/>
    </row>
    <row r="275" spans="1:28" ht="28.5" x14ac:dyDescent="0.2">
      <c r="A275" s="50" t="str">
        <f>Source!E204</f>
        <v>26</v>
      </c>
      <c r="B275" s="50" t="str">
        <f>Source!F204</f>
        <v>01-02-061-1</v>
      </c>
      <c r="C275" s="51" t="str">
        <f>Source!G204</f>
        <v>Засыпка вручную траншей, пазух котлованов и ям, группа грунтов: 1</v>
      </c>
      <c r="D275" s="52">
        <f>Source!I204</f>
        <v>5.9999999999999995E-4</v>
      </c>
      <c r="E275" s="53">
        <f>Source!AB204</f>
        <v>620.83000000000004</v>
      </c>
      <c r="F275" s="53">
        <f>Source!AD204</f>
        <v>0</v>
      </c>
      <c r="G275" s="53">
        <f>Source!O204</f>
        <v>0.37</v>
      </c>
      <c r="H275" s="53">
        <f>Source!S204</f>
        <v>0.37</v>
      </c>
      <c r="I275" s="53">
        <f>Source!Q204</f>
        <v>0</v>
      </c>
      <c r="J275" s="53">
        <f>Source!AH204</f>
        <v>101.77499999999999</v>
      </c>
      <c r="K275" s="53">
        <f>Source!U204</f>
        <v>6.1064999999999987E-2</v>
      </c>
      <c r="T275">
        <f>Source!O204+Source!X204+Source!Y204</f>
        <v>0.80999999999999994</v>
      </c>
      <c r="U275">
        <f>Source!P204</f>
        <v>0</v>
      </c>
      <c r="V275">
        <f>Source!S204</f>
        <v>0.37</v>
      </c>
      <c r="W275">
        <f>Source!Q204</f>
        <v>0</v>
      </c>
      <c r="X275">
        <f>Source!R204</f>
        <v>0</v>
      </c>
      <c r="Y275">
        <f>Source!U204</f>
        <v>6.1064999999999987E-2</v>
      </c>
      <c r="Z275">
        <f>Source!V204</f>
        <v>0</v>
      </c>
      <c r="AA275">
        <f>Source!X204</f>
        <v>0.3</v>
      </c>
      <c r="AB275">
        <f>Source!Y204</f>
        <v>0.14000000000000001</v>
      </c>
    </row>
    <row r="276" spans="1:28" ht="14.25" x14ac:dyDescent="0.2">
      <c r="A276" s="49"/>
      <c r="B276" s="49"/>
      <c r="C276" s="54" t="str">
        <f>Source!H204</f>
        <v>100 м3 грунта</v>
      </c>
      <c r="D276" s="52"/>
      <c r="E276" s="53">
        <f>Source!AF204</f>
        <v>620.83000000000004</v>
      </c>
      <c r="F276" s="53">
        <f>Source!AE204</f>
        <v>0</v>
      </c>
      <c r="G276" s="53"/>
      <c r="H276" s="53"/>
      <c r="I276" s="53">
        <f>Source!R204</f>
        <v>0</v>
      </c>
      <c r="J276" s="53">
        <f>Source!AI204</f>
        <v>0</v>
      </c>
      <c r="K276" s="53">
        <f>Source!V204</f>
        <v>0</v>
      </c>
    </row>
    <row r="277" spans="1:28" x14ac:dyDescent="0.2">
      <c r="A277" s="49"/>
      <c r="B277" s="49"/>
      <c r="C277" s="55" t="str">
        <f>"Объем: "&amp;Source!I204&amp;"=("&amp;Source!I203&amp;"*"&amp;"100)/"&amp;"100"</f>
        <v>Объем: 0,0006=(0,0006*100)/100</v>
      </c>
      <c r="D277" s="49"/>
      <c r="E277" s="49"/>
      <c r="F277" s="49"/>
      <c r="G277" s="49"/>
      <c r="H277" s="49"/>
      <c r="I277" s="49"/>
      <c r="J277" s="49"/>
      <c r="K277" s="49"/>
    </row>
    <row r="278" spans="1:28" x14ac:dyDescent="0.2">
      <c r="A278" s="49"/>
      <c r="B278" s="49"/>
      <c r="C278" s="55" t="s">
        <v>614</v>
      </c>
      <c r="D278" s="74" t="s">
        <v>12</v>
      </c>
      <c r="E278" s="74"/>
      <c r="F278" s="74"/>
      <c r="G278" s="74"/>
      <c r="H278" s="74"/>
      <c r="I278" s="74"/>
      <c r="J278" s="74"/>
      <c r="K278" s="74"/>
    </row>
    <row r="279" spans="1:28" x14ac:dyDescent="0.2">
      <c r="A279" s="49"/>
      <c r="B279" s="49"/>
      <c r="C279" s="55" t="s">
        <v>615</v>
      </c>
      <c r="D279" s="74" t="s">
        <v>12</v>
      </c>
      <c r="E279" s="74"/>
      <c r="F279" s="74"/>
      <c r="G279" s="74"/>
      <c r="H279" s="74"/>
      <c r="I279" s="74"/>
      <c r="J279" s="74"/>
      <c r="K279" s="74"/>
    </row>
    <row r="280" spans="1:28" x14ac:dyDescent="0.2">
      <c r="A280" s="49"/>
      <c r="B280" s="49"/>
      <c r="C280" s="55" t="s">
        <v>616</v>
      </c>
      <c r="D280" s="74" t="s">
        <v>13</v>
      </c>
      <c r="E280" s="74"/>
      <c r="F280" s="74"/>
      <c r="G280" s="74"/>
      <c r="H280" s="74"/>
      <c r="I280" s="74"/>
      <c r="J280" s="74"/>
      <c r="K280" s="74"/>
    </row>
    <row r="281" spans="1:28" x14ac:dyDescent="0.2">
      <c r="A281" s="49"/>
      <c r="B281" s="49"/>
      <c r="C281" s="55" t="s">
        <v>617</v>
      </c>
      <c r="D281" s="74" t="s">
        <v>13</v>
      </c>
      <c r="E281" s="74"/>
      <c r="F281" s="74"/>
      <c r="G281" s="74"/>
      <c r="H281" s="74"/>
      <c r="I281" s="74"/>
      <c r="J281" s="74"/>
      <c r="K281" s="74"/>
    </row>
    <row r="282" spans="1:28" x14ac:dyDescent="0.2">
      <c r="A282" s="49"/>
      <c r="B282" s="49"/>
      <c r="C282" s="55" t="s">
        <v>618</v>
      </c>
      <c r="D282" s="74" t="s">
        <v>12</v>
      </c>
      <c r="E282" s="74"/>
      <c r="F282" s="74"/>
      <c r="G282" s="74"/>
      <c r="H282" s="74"/>
      <c r="I282" s="74"/>
      <c r="J282" s="74"/>
      <c r="K282" s="74"/>
    </row>
    <row r="283" spans="1:28" x14ac:dyDescent="0.2">
      <c r="A283" s="49"/>
      <c r="B283" s="49"/>
      <c r="C283" s="56" t="s">
        <v>611</v>
      </c>
      <c r="D283" s="57">
        <f>Source!BZ204</f>
        <v>80</v>
      </c>
      <c r="E283" s="58">
        <f>(Source!AF204+Source!AE204)*Source!FX204/100</f>
        <v>496.66399999999999</v>
      </c>
      <c r="F283" s="57"/>
      <c r="G283" s="58">
        <f>Source!X204</f>
        <v>0.3</v>
      </c>
      <c r="H283" s="57" t="str">
        <f>CONCATENATE(Source!AT204)</f>
        <v>80</v>
      </c>
      <c r="I283" s="57"/>
      <c r="J283" s="57"/>
      <c r="K283" s="57"/>
    </row>
    <row r="284" spans="1:28" x14ac:dyDescent="0.2">
      <c r="A284" s="49"/>
      <c r="B284" s="49"/>
      <c r="C284" s="56" t="s">
        <v>612</v>
      </c>
      <c r="D284" s="57">
        <f>Source!CA204</f>
        <v>45</v>
      </c>
      <c r="E284" s="58">
        <f>(Source!AF204+Source!AE204)*Source!FY204/100</f>
        <v>237.46747500000001</v>
      </c>
      <c r="F284" s="57" t="str">
        <f>CONCATENATE(Source!DM204,Source!FU204, "=", Source!FY204, "%")</f>
        <v>*0,85=38,25%</v>
      </c>
      <c r="G284" s="58">
        <f>Source!Y204</f>
        <v>0.14000000000000001</v>
      </c>
      <c r="H284" s="57" t="str">
        <f>CONCATENATE(Source!AU204)</f>
        <v>38</v>
      </c>
      <c r="I284" s="57"/>
      <c r="J284" s="57"/>
      <c r="K284" s="57"/>
    </row>
    <row r="285" spans="1:28" x14ac:dyDescent="0.2">
      <c r="A285" s="49"/>
      <c r="B285" s="49"/>
      <c r="C285" s="56" t="s">
        <v>613</v>
      </c>
      <c r="D285" s="57"/>
      <c r="E285" s="58">
        <f>((Source!AF204+Source!AE204)*Source!FX204/100)+((Source!AF204+Source!AE204)*Source!FY204/100)+Source!AB204</f>
        <v>1354.9614750000001</v>
      </c>
      <c r="F285" s="57"/>
      <c r="G285" s="58">
        <f>Source!O204+Source!X204+Source!Y204</f>
        <v>0.80999999999999994</v>
      </c>
      <c r="H285" s="57"/>
      <c r="I285" s="57"/>
      <c r="J285" s="57"/>
      <c r="K285" s="57"/>
    </row>
    <row r="286" spans="1:28" x14ac:dyDescent="0.2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</row>
    <row r="287" spans="1:28" ht="15" x14ac:dyDescent="0.25">
      <c r="A287" s="59"/>
      <c r="B287" s="59"/>
      <c r="C287" s="70" t="str">
        <f>CONCATENATE("Итого по подразделу: ",IF(Source!G206&lt;&gt;"Новый подраздел", Source!G206, ""))</f>
        <v>Итого по подразделу: Установка урн</v>
      </c>
      <c r="D287" s="70"/>
      <c r="E287" s="70"/>
      <c r="F287" s="70"/>
      <c r="G287" s="60">
        <f>IF(SUM(T250:T286)=0, "-", SUM(T250:T286))</f>
        <v>1489.5600000000002</v>
      </c>
      <c r="H287" s="60">
        <f>IF(SUM(V250:V286)=0, "-", SUM(V250:V286))</f>
        <v>3.41</v>
      </c>
      <c r="I287" s="60">
        <f>IF(SUM(W250:W286)=0, "-", SUM(W250:W286))</f>
        <v>1.19</v>
      </c>
      <c r="J287" s="60"/>
      <c r="K287" s="60">
        <f>IF(SUM(Y250:Y286)=0, "-", SUM(Y250:Y286))</f>
        <v>0.53946499999999997</v>
      </c>
    </row>
    <row r="288" spans="1:28" ht="15" x14ac:dyDescent="0.25">
      <c r="A288" s="59"/>
      <c r="B288" s="59"/>
      <c r="C288" s="59"/>
      <c r="D288" s="59"/>
      <c r="E288" s="59"/>
      <c r="F288" s="59"/>
      <c r="G288" s="60"/>
      <c r="H288" s="60"/>
      <c r="I288" s="60">
        <f>IF(SUM(X250:X286)=0, "-", SUM(X250:X286))</f>
        <v>0.18</v>
      </c>
      <c r="J288" s="60"/>
      <c r="K288" s="60">
        <f>IF(SUM(Z250:Z286)=0, "-", SUM(Z250:Z286))</f>
        <v>1.3499999999999998E-2</v>
      </c>
    </row>
    <row r="289" spans="1:28" x14ac:dyDescent="0.2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</row>
    <row r="290" spans="1:28" x14ac:dyDescent="0.2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</row>
    <row r="291" spans="1:28" x14ac:dyDescent="0.2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</row>
    <row r="292" spans="1:28" ht="16.5" x14ac:dyDescent="0.25">
      <c r="A292" s="75" t="str">
        <f>CONCATENATE("Подраздел: ",IF(Source!G236&lt;&gt;"Новый подраздел", Source!G236, ""))</f>
        <v>Подраздел: Установка скамеек</v>
      </c>
      <c r="B292" s="75"/>
      <c r="C292" s="75"/>
      <c r="D292" s="75"/>
      <c r="E292" s="75"/>
      <c r="F292" s="75"/>
      <c r="G292" s="75"/>
      <c r="H292" s="75"/>
      <c r="I292" s="75"/>
      <c r="J292" s="75"/>
      <c r="K292" s="75"/>
    </row>
    <row r="293" spans="1:28" ht="42.75" x14ac:dyDescent="0.2">
      <c r="A293" s="50" t="str">
        <f>Source!E240</f>
        <v>27</v>
      </c>
      <c r="B293" s="50" t="str">
        <f>Source!F240</f>
        <v>01-02-058-2</v>
      </c>
      <c r="C293" s="51" t="str">
        <f>Source!G240</f>
        <v>Копание ям вручную без креплений для стоек и столбов: без откосов глубиной до 0,7 м, группа грунтов 2</v>
      </c>
      <c r="D293" s="52">
        <f>Source!I240</f>
        <v>1.1999999999999999E-3</v>
      </c>
      <c r="E293" s="53">
        <f>Source!AB240</f>
        <v>2044.7</v>
      </c>
      <c r="F293" s="53">
        <f>Source!AD240</f>
        <v>0</v>
      </c>
      <c r="G293" s="53">
        <f>Source!O240</f>
        <v>2.4500000000000002</v>
      </c>
      <c r="H293" s="53">
        <f>Source!S240</f>
        <v>2.4500000000000002</v>
      </c>
      <c r="I293" s="53">
        <f>Source!Q240</f>
        <v>0</v>
      </c>
      <c r="J293" s="53">
        <f>Source!AH240</f>
        <v>322</v>
      </c>
      <c r="K293" s="53">
        <f>Source!U240</f>
        <v>0.38639999999999997</v>
      </c>
      <c r="T293">
        <f>Source!O240+Source!X240+Source!Y240</f>
        <v>5.34</v>
      </c>
      <c r="U293">
        <f>Source!P240</f>
        <v>0</v>
      </c>
      <c r="V293">
        <f>Source!S240</f>
        <v>2.4500000000000002</v>
      </c>
      <c r="W293">
        <f>Source!Q240</f>
        <v>0</v>
      </c>
      <c r="X293">
        <f>Source!R240</f>
        <v>0</v>
      </c>
      <c r="Y293">
        <f>Source!U240</f>
        <v>0.38639999999999997</v>
      </c>
      <c r="Z293">
        <f>Source!V240</f>
        <v>0</v>
      </c>
      <c r="AA293">
        <f>Source!X240</f>
        <v>1.96</v>
      </c>
      <c r="AB293">
        <f>Source!Y240</f>
        <v>0.93</v>
      </c>
    </row>
    <row r="294" spans="1:28" ht="14.25" x14ac:dyDescent="0.2">
      <c r="A294" s="49"/>
      <c r="B294" s="49"/>
      <c r="C294" s="54" t="str">
        <f>Source!H240</f>
        <v>100 м3 грунта</v>
      </c>
      <c r="D294" s="52"/>
      <c r="E294" s="53">
        <f>Source!AF240</f>
        <v>2044.7</v>
      </c>
      <c r="F294" s="53">
        <f>Source!AE240</f>
        <v>0</v>
      </c>
      <c r="G294" s="53"/>
      <c r="H294" s="53"/>
      <c r="I294" s="53">
        <f>Source!R240</f>
        <v>0</v>
      </c>
      <c r="J294" s="53">
        <f>Source!AI240</f>
        <v>0</v>
      </c>
      <c r="K294" s="53">
        <f>Source!V240</f>
        <v>0</v>
      </c>
    </row>
    <row r="295" spans="1:28" x14ac:dyDescent="0.2">
      <c r="A295" s="49"/>
      <c r="B295" s="49"/>
      <c r="C295" s="55" t="str">
        <f>"Объем: "&amp;Source!I240&amp;"="&amp;Source!I241&amp;"*"&amp;"4*"&amp;"0,2*"&amp;"0,2*"&amp;"0,72/"&amp;"100"</f>
        <v>Объем: 0,0012=1*4*0,2*0,2*0,72/100</v>
      </c>
      <c r="D295" s="49"/>
      <c r="E295" s="49"/>
      <c r="F295" s="49"/>
      <c r="G295" s="49"/>
      <c r="H295" s="49"/>
      <c r="I295" s="49"/>
      <c r="J295" s="49"/>
      <c r="K295" s="49"/>
    </row>
    <row r="296" spans="1:28" x14ac:dyDescent="0.2">
      <c r="A296" s="49"/>
      <c r="B296" s="49"/>
      <c r="C296" s="55" t="s">
        <v>614</v>
      </c>
      <c r="D296" s="74" t="s">
        <v>12</v>
      </c>
      <c r="E296" s="74"/>
      <c r="F296" s="74"/>
      <c r="G296" s="74"/>
      <c r="H296" s="74"/>
      <c r="I296" s="74"/>
      <c r="J296" s="74"/>
      <c r="K296" s="74"/>
    </row>
    <row r="297" spans="1:28" x14ac:dyDescent="0.2">
      <c r="A297" s="49"/>
      <c r="B297" s="49"/>
      <c r="C297" s="55" t="s">
        <v>615</v>
      </c>
      <c r="D297" s="74" t="s">
        <v>12</v>
      </c>
      <c r="E297" s="74"/>
      <c r="F297" s="74"/>
      <c r="G297" s="74"/>
      <c r="H297" s="74"/>
      <c r="I297" s="74"/>
      <c r="J297" s="74"/>
      <c r="K297" s="74"/>
    </row>
    <row r="298" spans="1:28" x14ac:dyDescent="0.2">
      <c r="A298" s="49"/>
      <c r="B298" s="49"/>
      <c r="C298" s="55" t="s">
        <v>616</v>
      </c>
      <c r="D298" s="74" t="s">
        <v>13</v>
      </c>
      <c r="E298" s="74"/>
      <c r="F298" s="74"/>
      <c r="G298" s="74"/>
      <c r="H298" s="74"/>
      <c r="I298" s="74"/>
      <c r="J298" s="74"/>
      <c r="K298" s="74"/>
    </row>
    <row r="299" spans="1:28" x14ac:dyDescent="0.2">
      <c r="A299" s="49"/>
      <c r="B299" s="49"/>
      <c r="C299" s="55" t="s">
        <v>617</v>
      </c>
      <c r="D299" s="74" t="s">
        <v>13</v>
      </c>
      <c r="E299" s="74"/>
      <c r="F299" s="74"/>
      <c r="G299" s="74"/>
      <c r="H299" s="74"/>
      <c r="I299" s="74"/>
      <c r="J299" s="74"/>
      <c r="K299" s="74"/>
    </row>
    <row r="300" spans="1:28" x14ac:dyDescent="0.2">
      <c r="A300" s="49"/>
      <c r="B300" s="49"/>
      <c r="C300" s="55" t="s">
        <v>618</v>
      </c>
      <c r="D300" s="74" t="s">
        <v>12</v>
      </c>
      <c r="E300" s="74"/>
      <c r="F300" s="74"/>
      <c r="G300" s="74"/>
      <c r="H300" s="74"/>
      <c r="I300" s="74"/>
      <c r="J300" s="74"/>
      <c r="K300" s="74"/>
    </row>
    <row r="301" spans="1:28" x14ac:dyDescent="0.2">
      <c r="A301" s="49"/>
      <c r="B301" s="49"/>
      <c r="C301" s="56" t="s">
        <v>611</v>
      </c>
      <c r="D301" s="57">
        <f>Source!BZ240</f>
        <v>80</v>
      </c>
      <c r="E301" s="58">
        <f>(Source!AF240+Source!AE240)*Source!FX240/100</f>
        <v>1635.76</v>
      </c>
      <c r="F301" s="57"/>
      <c r="G301" s="58">
        <f>Source!X240</f>
        <v>1.96</v>
      </c>
      <c r="H301" s="57" t="str">
        <f>CONCATENATE(Source!AT240)</f>
        <v>80</v>
      </c>
      <c r="I301" s="57"/>
      <c r="J301" s="57"/>
      <c r="K301" s="57"/>
    </row>
    <row r="302" spans="1:28" x14ac:dyDescent="0.2">
      <c r="A302" s="49"/>
      <c r="B302" s="49"/>
      <c r="C302" s="56" t="s">
        <v>612</v>
      </c>
      <c r="D302" s="57">
        <f>Source!CA240</f>
        <v>45</v>
      </c>
      <c r="E302" s="58">
        <f>(Source!AF240+Source!AE240)*Source!FY240/100</f>
        <v>782.09775000000013</v>
      </c>
      <c r="F302" s="57" t="str">
        <f>CONCATENATE(Source!DM240,Source!FU240, "=", Source!FY240, "%")</f>
        <v>*0,85=38,25%</v>
      </c>
      <c r="G302" s="58">
        <f>Source!Y240</f>
        <v>0.93</v>
      </c>
      <c r="H302" s="57" t="str">
        <f>CONCATENATE(Source!AU240)</f>
        <v>38</v>
      </c>
      <c r="I302" s="57"/>
      <c r="J302" s="57"/>
      <c r="K302" s="57"/>
    </row>
    <row r="303" spans="1:28" x14ac:dyDescent="0.2">
      <c r="A303" s="49"/>
      <c r="B303" s="49"/>
      <c r="C303" s="56" t="s">
        <v>613</v>
      </c>
      <c r="D303" s="57"/>
      <c r="E303" s="58">
        <f>((Source!AF240+Source!AE240)*Source!FX240/100)+((Source!AF240+Source!AE240)*Source!FY240/100)+Source!AB240</f>
        <v>4462.5577499999999</v>
      </c>
      <c r="F303" s="57"/>
      <c r="G303" s="58">
        <f>Source!O240+Source!X240+Source!Y240</f>
        <v>5.34</v>
      </c>
      <c r="H303" s="57"/>
      <c r="I303" s="57"/>
      <c r="J303" s="57"/>
      <c r="K303" s="57"/>
    </row>
    <row r="304" spans="1:28" ht="196.5" x14ac:dyDescent="0.2">
      <c r="A304" s="50" t="str">
        <f>Source!E241</f>
        <v>28</v>
      </c>
      <c r="B304" s="50" t="str">
        <f>Source!F241</f>
        <v>Прайс-лист</v>
      </c>
      <c r="C304" s="51" t="s">
        <v>622</v>
      </c>
      <c r="D304" s="52">
        <f>Source!I241</f>
        <v>1</v>
      </c>
      <c r="E304" s="53">
        <f>Source!AB241</f>
        <v>1035.32</v>
      </c>
      <c r="F304" s="53">
        <f>Source!AD241</f>
        <v>0</v>
      </c>
      <c r="G304" s="53">
        <f>Source!O241</f>
        <v>1035.32</v>
      </c>
      <c r="H304" s="53">
        <f>Source!S241</f>
        <v>0</v>
      </c>
      <c r="I304" s="53">
        <f>Source!Q241</f>
        <v>0</v>
      </c>
      <c r="J304" s="53">
        <f>Source!AH241</f>
        <v>0</v>
      </c>
      <c r="K304" s="53">
        <f>Source!U241</f>
        <v>0</v>
      </c>
      <c r="T304">
        <f>Source!O241+Source!X241+Source!Y241</f>
        <v>1035.32</v>
      </c>
      <c r="U304">
        <f>Source!P241</f>
        <v>1035.32</v>
      </c>
      <c r="V304">
        <f>Source!S241</f>
        <v>0</v>
      </c>
      <c r="W304">
        <f>Source!Q241</f>
        <v>0</v>
      </c>
      <c r="X304">
        <f>Source!R241</f>
        <v>0</v>
      </c>
      <c r="Y304">
        <f>Source!U241</f>
        <v>0</v>
      </c>
      <c r="Z304">
        <f>Source!V241</f>
        <v>0</v>
      </c>
      <c r="AA304">
        <f>Source!X241</f>
        <v>0</v>
      </c>
      <c r="AB304">
        <f>Source!Y241</f>
        <v>0</v>
      </c>
    </row>
    <row r="305" spans="1:28" ht="14.25" x14ac:dyDescent="0.2">
      <c r="A305" s="49"/>
      <c r="B305" s="49"/>
      <c r="C305" s="54" t="str">
        <f>Source!H241</f>
        <v>ШТ</v>
      </c>
      <c r="D305" s="52"/>
      <c r="E305" s="53">
        <f>Source!AF241</f>
        <v>0</v>
      </c>
      <c r="F305" s="53">
        <f>Source!AE241</f>
        <v>0</v>
      </c>
      <c r="G305" s="53"/>
      <c r="H305" s="53"/>
      <c r="I305" s="53">
        <f>Source!R241</f>
        <v>0</v>
      </c>
      <c r="J305" s="53">
        <f>Source!AI241</f>
        <v>0</v>
      </c>
      <c r="K305" s="53">
        <f>Source!V241</f>
        <v>0</v>
      </c>
    </row>
    <row r="306" spans="1:28" ht="14.25" x14ac:dyDescent="0.2">
      <c r="A306" s="50" t="str">
        <f>Source!E242</f>
        <v>29</v>
      </c>
      <c r="B306" s="50" t="str">
        <f>Source!F242</f>
        <v>06-01-001-1</v>
      </c>
      <c r="C306" s="51" t="str">
        <f>Source!G242</f>
        <v>Устройство бетонной подготовки</v>
      </c>
      <c r="D306" s="52">
        <f>Source!I242</f>
        <v>5.9999999999999995E-4</v>
      </c>
      <c r="E306" s="53">
        <f>Source!AB242</f>
        <v>54712.6</v>
      </c>
      <c r="F306" s="53">
        <f>Source!AD242</f>
        <v>1982.66</v>
      </c>
      <c r="G306" s="53">
        <f>Source!O242</f>
        <v>32.83</v>
      </c>
      <c r="H306" s="53">
        <f>Source!S242</f>
        <v>0.79</v>
      </c>
      <c r="I306" s="53">
        <f>Source!Q242</f>
        <v>1.19</v>
      </c>
      <c r="J306" s="53">
        <f>Source!AH242</f>
        <v>206.99999999999997</v>
      </c>
      <c r="K306" s="53">
        <f>Source!U242</f>
        <v>0.12419999999999998</v>
      </c>
      <c r="T306">
        <f>Source!O242+Source!X242+Source!Y242</f>
        <v>34.380000000000003</v>
      </c>
      <c r="U306">
        <f>Source!P242</f>
        <v>30.85</v>
      </c>
      <c r="V306">
        <f>Source!S242</f>
        <v>0.79</v>
      </c>
      <c r="W306">
        <f>Source!Q242</f>
        <v>1.19</v>
      </c>
      <c r="X306">
        <f>Source!R242</f>
        <v>0.18</v>
      </c>
      <c r="Y306">
        <f>Source!U242</f>
        <v>0.12419999999999998</v>
      </c>
      <c r="Z306">
        <f>Source!V242</f>
        <v>1.3499999999999998E-2</v>
      </c>
      <c r="AA306">
        <f>Source!X242</f>
        <v>1.02</v>
      </c>
      <c r="AB306">
        <f>Source!Y242</f>
        <v>0.53</v>
      </c>
    </row>
    <row r="307" spans="1:28" ht="28.5" x14ac:dyDescent="0.2">
      <c r="A307" s="49"/>
      <c r="B307" s="49"/>
      <c r="C307" s="54" t="str">
        <f>Source!H242</f>
        <v>100 м3 бетона, бутобетона и железобетона в деле</v>
      </c>
      <c r="D307" s="52"/>
      <c r="E307" s="53">
        <f>Source!AF242</f>
        <v>1314.45</v>
      </c>
      <c r="F307" s="53">
        <f>Source!AE242</f>
        <v>298.35000000000002</v>
      </c>
      <c r="G307" s="53"/>
      <c r="H307" s="53"/>
      <c r="I307" s="53">
        <f>Source!R242</f>
        <v>0.18</v>
      </c>
      <c r="J307" s="53">
        <f>Source!AI242</f>
        <v>22.5</v>
      </c>
      <c r="K307" s="53">
        <f>Source!V242</f>
        <v>1.3499999999999998E-2</v>
      </c>
    </row>
    <row r="308" spans="1:28" x14ac:dyDescent="0.2">
      <c r="A308" s="49"/>
      <c r="B308" s="49"/>
      <c r="C308" s="55" t="str">
        <f>"Объем: "&amp;Source!I242&amp;"=("&amp;Source!I240&amp;"*"&amp;"100/"&amp;"2)/"&amp;"100"</f>
        <v>Объем: 0,0006=(0,0012*100/2)/100</v>
      </c>
      <c r="D308" s="49"/>
      <c r="E308" s="49"/>
      <c r="F308" s="49"/>
      <c r="G308" s="49"/>
      <c r="H308" s="49"/>
      <c r="I308" s="49"/>
      <c r="J308" s="49"/>
      <c r="K308" s="49"/>
    </row>
    <row r="309" spans="1:28" x14ac:dyDescent="0.2">
      <c r="A309" s="49"/>
      <c r="B309" s="49"/>
      <c r="C309" s="55" t="s">
        <v>614</v>
      </c>
      <c r="D309" s="74" t="s">
        <v>12</v>
      </c>
      <c r="E309" s="74"/>
      <c r="F309" s="74"/>
      <c r="G309" s="74"/>
      <c r="H309" s="74"/>
      <c r="I309" s="74"/>
      <c r="J309" s="74"/>
      <c r="K309" s="74"/>
    </row>
    <row r="310" spans="1:28" x14ac:dyDescent="0.2">
      <c r="A310" s="49"/>
      <c r="B310" s="49"/>
      <c r="C310" s="55" t="s">
        <v>615</v>
      </c>
      <c r="D310" s="74" t="s">
        <v>12</v>
      </c>
      <c r="E310" s="74"/>
      <c r="F310" s="74"/>
      <c r="G310" s="74"/>
      <c r="H310" s="74"/>
      <c r="I310" s="74"/>
      <c r="J310" s="74"/>
      <c r="K310" s="74"/>
    </row>
    <row r="311" spans="1:28" x14ac:dyDescent="0.2">
      <c r="A311" s="49"/>
      <c r="B311" s="49"/>
      <c r="C311" s="55" t="s">
        <v>616</v>
      </c>
      <c r="D311" s="74" t="s">
        <v>13</v>
      </c>
      <c r="E311" s="74"/>
      <c r="F311" s="74"/>
      <c r="G311" s="74"/>
      <c r="H311" s="74"/>
      <c r="I311" s="74"/>
      <c r="J311" s="74"/>
      <c r="K311" s="74"/>
    </row>
    <row r="312" spans="1:28" x14ac:dyDescent="0.2">
      <c r="A312" s="49"/>
      <c r="B312" s="49"/>
      <c r="C312" s="55" t="s">
        <v>617</v>
      </c>
      <c r="D312" s="74" t="s">
        <v>13</v>
      </c>
      <c r="E312" s="74"/>
      <c r="F312" s="74"/>
      <c r="G312" s="74"/>
      <c r="H312" s="74"/>
      <c r="I312" s="74"/>
      <c r="J312" s="74"/>
      <c r="K312" s="74"/>
    </row>
    <row r="313" spans="1:28" x14ac:dyDescent="0.2">
      <c r="A313" s="49"/>
      <c r="B313" s="49"/>
      <c r="C313" s="55" t="s">
        <v>618</v>
      </c>
      <c r="D313" s="74" t="s">
        <v>12</v>
      </c>
      <c r="E313" s="74"/>
      <c r="F313" s="74"/>
      <c r="G313" s="74"/>
      <c r="H313" s="74"/>
      <c r="I313" s="74"/>
      <c r="J313" s="74"/>
      <c r="K313" s="74"/>
    </row>
    <row r="314" spans="1:28" x14ac:dyDescent="0.2">
      <c r="A314" s="49"/>
      <c r="B314" s="49"/>
      <c r="C314" s="56" t="s">
        <v>611</v>
      </c>
      <c r="D314" s="57">
        <f>Source!BZ242</f>
        <v>105</v>
      </c>
      <c r="E314" s="58">
        <f>(Source!AF242+Source!AE242)*Source!FX242/100</f>
        <v>1693.4400000000003</v>
      </c>
      <c r="F314" s="57"/>
      <c r="G314" s="58">
        <f>Source!X242</f>
        <v>1.02</v>
      </c>
      <c r="H314" s="57" t="str">
        <f>CONCATENATE(Source!AT242)</f>
        <v>105</v>
      </c>
      <c r="I314" s="57"/>
      <c r="J314" s="57"/>
      <c r="K314" s="57"/>
    </row>
    <row r="315" spans="1:28" x14ac:dyDescent="0.2">
      <c r="A315" s="49"/>
      <c r="B315" s="49"/>
      <c r="C315" s="56" t="s">
        <v>612</v>
      </c>
      <c r="D315" s="57">
        <f>Source!CA242</f>
        <v>65</v>
      </c>
      <c r="E315" s="58">
        <f>(Source!AF242+Source!AE242)*Source!FY242/100</f>
        <v>891.07200000000012</v>
      </c>
      <c r="F315" s="57" t="str">
        <f>CONCATENATE(Source!DM242,Source!FU242, "=", Source!FY242, "%")</f>
        <v>*0,85=55,25%</v>
      </c>
      <c r="G315" s="58">
        <f>Source!Y242</f>
        <v>0.53</v>
      </c>
      <c r="H315" s="57" t="str">
        <f>CONCATENATE(Source!AU242)</f>
        <v>55</v>
      </c>
      <c r="I315" s="57"/>
      <c r="J315" s="57"/>
      <c r="K315" s="57"/>
    </row>
    <row r="316" spans="1:28" x14ac:dyDescent="0.2">
      <c r="A316" s="49"/>
      <c r="B316" s="49"/>
      <c r="C316" s="56" t="s">
        <v>613</v>
      </c>
      <c r="D316" s="57"/>
      <c r="E316" s="58">
        <f>((Source!AF242+Source!AE242)*Source!FX242/100)+((Source!AF242+Source!AE242)*Source!FY242/100)+Source!AB242</f>
        <v>57297.112000000001</v>
      </c>
      <c r="F316" s="57"/>
      <c r="G316" s="58">
        <f>Source!O242+Source!X242+Source!Y242</f>
        <v>34.380000000000003</v>
      </c>
      <c r="H316" s="57"/>
      <c r="I316" s="57"/>
      <c r="J316" s="57"/>
      <c r="K316" s="57"/>
    </row>
    <row r="317" spans="1:28" ht="28.5" x14ac:dyDescent="0.2">
      <c r="A317" s="50" t="str">
        <f>Source!E243</f>
        <v>30</v>
      </c>
      <c r="B317" s="50" t="str">
        <f>Source!F243</f>
        <v>01-02-061-1</v>
      </c>
      <c r="C317" s="51" t="str">
        <f>Source!G243</f>
        <v>Засыпка вручную траншей, пазух котлованов и ям, группа грунтов: 1</v>
      </c>
      <c r="D317" s="52">
        <f>Source!I243</f>
        <v>5.9999999999999995E-4</v>
      </c>
      <c r="E317" s="53">
        <f>Source!AB243</f>
        <v>620.83000000000004</v>
      </c>
      <c r="F317" s="53">
        <f>Source!AD243</f>
        <v>0</v>
      </c>
      <c r="G317" s="53">
        <f>Source!O243</f>
        <v>0.37</v>
      </c>
      <c r="H317" s="53">
        <f>Source!S243</f>
        <v>0.37</v>
      </c>
      <c r="I317" s="53">
        <f>Source!Q243</f>
        <v>0</v>
      </c>
      <c r="J317" s="53">
        <f>Source!AH243</f>
        <v>101.77499999999999</v>
      </c>
      <c r="K317" s="53">
        <f>Source!U243</f>
        <v>6.1064999999999987E-2</v>
      </c>
      <c r="T317">
        <f>Source!O243+Source!X243+Source!Y243</f>
        <v>0.80999999999999994</v>
      </c>
      <c r="U317">
        <f>Source!P243</f>
        <v>0</v>
      </c>
      <c r="V317">
        <f>Source!S243</f>
        <v>0.37</v>
      </c>
      <c r="W317">
        <f>Source!Q243</f>
        <v>0</v>
      </c>
      <c r="X317">
        <f>Source!R243</f>
        <v>0</v>
      </c>
      <c r="Y317">
        <f>Source!U243</f>
        <v>6.1064999999999987E-2</v>
      </c>
      <c r="Z317">
        <f>Source!V243</f>
        <v>0</v>
      </c>
      <c r="AA317">
        <f>Source!X243</f>
        <v>0.3</v>
      </c>
      <c r="AB317">
        <f>Source!Y243</f>
        <v>0.14000000000000001</v>
      </c>
    </row>
    <row r="318" spans="1:28" ht="14.25" x14ac:dyDescent="0.2">
      <c r="A318" s="49"/>
      <c r="B318" s="49"/>
      <c r="C318" s="54" t="str">
        <f>Source!H243</f>
        <v>100 м3 грунта</v>
      </c>
      <c r="D318" s="52"/>
      <c r="E318" s="53">
        <f>Source!AF243</f>
        <v>620.83000000000004</v>
      </c>
      <c r="F318" s="53">
        <f>Source!AE243</f>
        <v>0</v>
      </c>
      <c r="G318" s="53"/>
      <c r="H318" s="53"/>
      <c r="I318" s="53">
        <f>Source!R243</f>
        <v>0</v>
      </c>
      <c r="J318" s="53">
        <f>Source!AI243</f>
        <v>0</v>
      </c>
      <c r="K318" s="53">
        <f>Source!V243</f>
        <v>0</v>
      </c>
    </row>
    <row r="319" spans="1:28" x14ac:dyDescent="0.2">
      <c r="A319" s="49"/>
      <c r="B319" s="49"/>
      <c r="C319" s="55" t="str">
        <f>"Объем: "&amp;Source!I243&amp;"=("&amp;Source!I242&amp;"*"&amp;"100)/"&amp;"100"</f>
        <v>Объем: 0,0006=(0,0006*100)/100</v>
      </c>
      <c r="D319" s="49"/>
      <c r="E319" s="49"/>
      <c r="F319" s="49"/>
      <c r="G319" s="49"/>
      <c r="H319" s="49"/>
      <c r="I319" s="49"/>
      <c r="J319" s="49"/>
      <c r="K319" s="49"/>
    </row>
    <row r="320" spans="1:28" x14ac:dyDescent="0.2">
      <c r="A320" s="49"/>
      <c r="B320" s="49"/>
      <c r="C320" s="55" t="s">
        <v>614</v>
      </c>
      <c r="D320" s="74" t="s">
        <v>138</v>
      </c>
      <c r="E320" s="74"/>
      <c r="F320" s="74"/>
      <c r="G320" s="74"/>
      <c r="H320" s="74"/>
      <c r="I320" s="74"/>
      <c r="J320" s="74"/>
      <c r="K320" s="74"/>
    </row>
    <row r="321" spans="1:28" x14ac:dyDescent="0.2">
      <c r="A321" s="49"/>
      <c r="B321" s="49"/>
      <c r="C321" s="55" t="s">
        <v>615</v>
      </c>
      <c r="D321" s="74" t="s">
        <v>138</v>
      </c>
      <c r="E321" s="74"/>
      <c r="F321" s="74"/>
      <c r="G321" s="74"/>
      <c r="H321" s="74"/>
      <c r="I321" s="74"/>
      <c r="J321" s="74"/>
      <c r="K321" s="74"/>
    </row>
    <row r="322" spans="1:28" x14ac:dyDescent="0.2">
      <c r="A322" s="49"/>
      <c r="B322" s="49"/>
      <c r="C322" s="55" t="s">
        <v>616</v>
      </c>
      <c r="D322" s="74" t="s">
        <v>139</v>
      </c>
      <c r="E322" s="74"/>
      <c r="F322" s="74"/>
      <c r="G322" s="74"/>
      <c r="H322" s="74"/>
      <c r="I322" s="74"/>
      <c r="J322" s="74"/>
      <c r="K322" s="74"/>
    </row>
    <row r="323" spans="1:28" x14ac:dyDescent="0.2">
      <c r="A323" s="49"/>
      <c r="B323" s="49"/>
      <c r="C323" s="55" t="s">
        <v>617</v>
      </c>
      <c r="D323" s="74" t="s">
        <v>139</v>
      </c>
      <c r="E323" s="74"/>
      <c r="F323" s="74"/>
      <c r="G323" s="74"/>
      <c r="H323" s="74"/>
      <c r="I323" s="74"/>
      <c r="J323" s="74"/>
      <c r="K323" s="74"/>
    </row>
    <row r="324" spans="1:28" x14ac:dyDescent="0.2">
      <c r="A324" s="49"/>
      <c r="B324" s="49"/>
      <c r="C324" s="55" t="s">
        <v>618</v>
      </c>
      <c r="D324" s="74" t="s">
        <v>138</v>
      </c>
      <c r="E324" s="74"/>
      <c r="F324" s="74"/>
      <c r="G324" s="74"/>
      <c r="H324" s="74"/>
      <c r="I324" s="74"/>
      <c r="J324" s="74"/>
      <c r="K324" s="74"/>
    </row>
    <row r="325" spans="1:28" x14ac:dyDescent="0.2">
      <c r="A325" s="49"/>
      <c r="B325" s="49"/>
      <c r="C325" s="56" t="s">
        <v>611</v>
      </c>
      <c r="D325" s="57">
        <f>Source!BZ243</f>
        <v>80</v>
      </c>
      <c r="E325" s="58">
        <f>(Source!AF243+Source!AE243)*Source!FX243/100</f>
        <v>496.66399999999999</v>
      </c>
      <c r="F325" s="57"/>
      <c r="G325" s="58">
        <f>Source!X243</f>
        <v>0.3</v>
      </c>
      <c r="H325" s="57" t="str">
        <f>CONCATENATE(Source!AT243)</f>
        <v>80</v>
      </c>
      <c r="I325" s="57"/>
      <c r="J325" s="57"/>
      <c r="K325" s="57"/>
    </row>
    <row r="326" spans="1:28" x14ac:dyDescent="0.2">
      <c r="A326" s="49"/>
      <c r="B326" s="49"/>
      <c r="C326" s="56" t="s">
        <v>612</v>
      </c>
      <c r="D326" s="57">
        <f>Source!CA243</f>
        <v>45</v>
      </c>
      <c r="E326" s="58">
        <f>(Source!AF243+Source!AE243)*Source!FY243/100</f>
        <v>237.46747500000001</v>
      </c>
      <c r="F326" s="57" t="str">
        <f>CONCATENATE(Source!DM243,Source!FU243, "=", Source!FY243, "%")</f>
        <v>*0,85=38,25%</v>
      </c>
      <c r="G326" s="58">
        <f>Source!Y243</f>
        <v>0.14000000000000001</v>
      </c>
      <c r="H326" s="57" t="str">
        <f>CONCATENATE(Source!AU243)</f>
        <v>38</v>
      </c>
      <c r="I326" s="57"/>
      <c r="J326" s="57"/>
      <c r="K326" s="57"/>
    </row>
    <row r="327" spans="1:28" x14ac:dyDescent="0.2">
      <c r="A327" s="49"/>
      <c r="B327" s="49"/>
      <c r="C327" s="56" t="s">
        <v>613</v>
      </c>
      <c r="D327" s="57"/>
      <c r="E327" s="58">
        <f>((Source!AF243+Source!AE243)*Source!FX243/100)+((Source!AF243+Source!AE243)*Source!FY243/100)+Source!AB243</f>
        <v>1354.9614750000001</v>
      </c>
      <c r="F327" s="57"/>
      <c r="G327" s="58">
        <f>Source!O243+Source!X243+Source!Y243</f>
        <v>0.80999999999999994</v>
      </c>
      <c r="H327" s="57"/>
      <c r="I327" s="57"/>
      <c r="J327" s="57"/>
      <c r="K327" s="57"/>
    </row>
    <row r="328" spans="1:28" x14ac:dyDescent="0.2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</row>
    <row r="329" spans="1:28" ht="15" x14ac:dyDescent="0.25">
      <c r="A329" s="59"/>
      <c r="B329" s="59"/>
      <c r="C329" s="70" t="str">
        <f>CONCATENATE("Итого по подразделу: ",IF(Source!G245&lt;&gt;"Новый подраздел", Source!G245, ""))</f>
        <v>Итого по подразделу: Установка скамеек</v>
      </c>
      <c r="D329" s="70"/>
      <c r="E329" s="70"/>
      <c r="F329" s="70"/>
      <c r="G329" s="60">
        <f>IF(SUM(T292:T328)=0, "-", SUM(T292:T328))</f>
        <v>1075.8499999999999</v>
      </c>
      <c r="H329" s="60">
        <f>IF(SUM(V292:V328)=0, "-", SUM(V292:V328))</f>
        <v>3.6100000000000003</v>
      </c>
      <c r="I329" s="60">
        <f>IF(SUM(W292:W328)=0, "-", SUM(W292:W328))</f>
        <v>1.19</v>
      </c>
      <c r="J329" s="60"/>
      <c r="K329" s="60">
        <f>IF(SUM(Y292:Y328)=0, "-", SUM(Y292:Y328))</f>
        <v>0.57166499999999998</v>
      </c>
    </row>
    <row r="330" spans="1:28" ht="15" x14ac:dyDescent="0.25">
      <c r="A330" s="59"/>
      <c r="B330" s="59"/>
      <c r="C330" s="59"/>
      <c r="D330" s="59"/>
      <c r="E330" s="59"/>
      <c r="F330" s="59"/>
      <c r="G330" s="60"/>
      <c r="H330" s="60"/>
      <c r="I330" s="60">
        <f>IF(SUM(X292:X328)=0, "-", SUM(X292:X328))</f>
        <v>0.18</v>
      </c>
      <c r="J330" s="60"/>
      <c r="K330" s="60">
        <f>IF(SUM(Z292:Z328)=0, "-", SUM(Z292:Z328))</f>
        <v>1.3499999999999998E-2</v>
      </c>
    </row>
    <row r="331" spans="1:28" x14ac:dyDescent="0.2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</row>
    <row r="332" spans="1:28" x14ac:dyDescent="0.2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</row>
    <row r="333" spans="1:28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</row>
    <row r="334" spans="1:28" ht="16.5" x14ac:dyDescent="0.25">
      <c r="A334" s="75" t="str">
        <f>CONCATENATE("Подраздел: ",IF(Source!G275&lt;&gt;"Новый подраздел", Source!G275, ""))</f>
        <v>Подраздел: Площадка для мусорных контейнеров</v>
      </c>
      <c r="B334" s="75"/>
      <c r="C334" s="75"/>
      <c r="D334" s="75"/>
      <c r="E334" s="75"/>
      <c r="F334" s="75"/>
      <c r="G334" s="75"/>
      <c r="H334" s="75"/>
      <c r="I334" s="75"/>
      <c r="J334" s="75"/>
      <c r="K334" s="75"/>
    </row>
    <row r="335" spans="1:28" ht="14.25" x14ac:dyDescent="0.2">
      <c r="A335" s="50" t="str">
        <f>Source!E279</f>
        <v>31</v>
      </c>
      <c r="B335" s="50" t="str">
        <f>Source!F279</f>
        <v>09-08-002-5</v>
      </c>
      <c r="C335" s="51" t="str">
        <f>Source!G279</f>
        <v>Разборка ограждений</v>
      </c>
      <c r="D335" s="52">
        <f>Source!I279</f>
        <v>0.7</v>
      </c>
      <c r="E335" s="53">
        <f>Source!AB279</f>
        <v>50.43</v>
      </c>
      <c r="F335" s="53">
        <f>Source!AD279</f>
        <v>15.89</v>
      </c>
      <c r="G335" s="53">
        <f>Source!O279</f>
        <v>35.299999999999997</v>
      </c>
      <c r="H335" s="53">
        <f>Source!S279</f>
        <v>24.18</v>
      </c>
      <c r="I335" s="53">
        <f>Source!Q279</f>
        <v>11.12</v>
      </c>
      <c r="J335" s="53">
        <f>Source!AH279</f>
        <v>4.9770000000000003</v>
      </c>
      <c r="K335" s="53">
        <f>Source!U279</f>
        <v>3.4839000000000002</v>
      </c>
      <c r="T335">
        <f>Source!O279+Source!X279+Source!Y279</f>
        <v>79.62</v>
      </c>
      <c r="U335">
        <f>Source!P279</f>
        <v>0</v>
      </c>
      <c r="V335">
        <f>Source!S279</f>
        <v>24.18</v>
      </c>
      <c r="W335">
        <f>Source!Q279</f>
        <v>11.12</v>
      </c>
      <c r="X335">
        <f>Source!R279</f>
        <v>3.18</v>
      </c>
      <c r="Y335">
        <f>Source!U279</f>
        <v>3.4839000000000002</v>
      </c>
      <c r="Z335">
        <f>Source!V279</f>
        <v>0.27929999999999994</v>
      </c>
      <c r="AA335">
        <f>Source!X279</f>
        <v>24.62</v>
      </c>
      <c r="AB335">
        <f>Source!Y279</f>
        <v>19.7</v>
      </c>
    </row>
    <row r="336" spans="1:28" ht="14.25" x14ac:dyDescent="0.2">
      <c r="A336" s="49"/>
      <c r="B336" s="49"/>
      <c r="C336" s="54" t="str">
        <f>Source!H279</f>
        <v>10 панелей</v>
      </c>
      <c r="D336" s="52"/>
      <c r="E336" s="53">
        <f>Source!AF279</f>
        <v>34.54</v>
      </c>
      <c r="F336" s="53">
        <f>Source!AE279</f>
        <v>4.54</v>
      </c>
      <c r="G336" s="53"/>
      <c r="H336" s="53"/>
      <c r="I336" s="53">
        <f>Source!R279</f>
        <v>3.18</v>
      </c>
      <c r="J336" s="53">
        <f>Source!AI279</f>
        <v>0.39899999999999997</v>
      </c>
      <c r="K336" s="53">
        <f>Source!V279</f>
        <v>0.27929999999999994</v>
      </c>
    </row>
    <row r="337" spans="1:28" x14ac:dyDescent="0.2">
      <c r="A337" s="49"/>
      <c r="B337" s="49"/>
      <c r="C337" s="55" t="str">
        <f>"Объем: "&amp;Source!I279&amp;"=7/"&amp;"10"</f>
        <v>Объем: 0,7=7/10</v>
      </c>
      <c r="D337" s="49"/>
      <c r="E337" s="49"/>
      <c r="F337" s="49"/>
      <c r="G337" s="49"/>
      <c r="H337" s="49"/>
      <c r="I337" s="49"/>
      <c r="J337" s="49"/>
      <c r="K337" s="49"/>
    </row>
    <row r="338" spans="1:28" x14ac:dyDescent="0.2">
      <c r="A338" s="49"/>
      <c r="B338" s="49"/>
      <c r="C338" s="55" t="s">
        <v>619</v>
      </c>
      <c r="D338" s="74" t="s">
        <v>241</v>
      </c>
      <c r="E338" s="74"/>
      <c r="F338" s="74"/>
      <c r="G338" s="74"/>
      <c r="H338" s="74"/>
      <c r="I338" s="74"/>
      <c r="J338" s="74"/>
      <c r="K338" s="74"/>
    </row>
    <row r="339" spans="1:28" x14ac:dyDescent="0.2">
      <c r="A339" s="49"/>
      <c r="B339" s="49"/>
      <c r="C339" s="55" t="s">
        <v>614</v>
      </c>
      <c r="D339" s="74" t="s">
        <v>242</v>
      </c>
      <c r="E339" s="74"/>
      <c r="F339" s="74"/>
      <c r="G339" s="74"/>
      <c r="H339" s="74"/>
      <c r="I339" s="74"/>
      <c r="J339" s="74"/>
      <c r="K339" s="74"/>
    </row>
    <row r="340" spans="1:28" x14ac:dyDescent="0.2">
      <c r="A340" s="49"/>
      <c r="B340" s="49"/>
      <c r="C340" s="55" t="s">
        <v>615</v>
      </c>
      <c r="D340" s="74" t="s">
        <v>242</v>
      </c>
      <c r="E340" s="74"/>
      <c r="F340" s="74"/>
      <c r="G340" s="74"/>
      <c r="H340" s="74"/>
      <c r="I340" s="74"/>
      <c r="J340" s="74"/>
      <c r="K340" s="74"/>
    </row>
    <row r="341" spans="1:28" x14ac:dyDescent="0.2">
      <c r="A341" s="49"/>
      <c r="B341" s="49"/>
      <c r="C341" s="55" t="s">
        <v>616</v>
      </c>
      <c r="D341" s="74" t="s">
        <v>242</v>
      </c>
      <c r="E341" s="74"/>
      <c r="F341" s="74"/>
      <c r="G341" s="74"/>
      <c r="H341" s="74"/>
      <c r="I341" s="74"/>
      <c r="J341" s="74"/>
      <c r="K341" s="74"/>
    </row>
    <row r="342" spans="1:28" x14ac:dyDescent="0.2">
      <c r="A342" s="49"/>
      <c r="B342" s="49"/>
      <c r="C342" s="55" t="s">
        <v>617</v>
      </c>
      <c r="D342" s="74" t="s">
        <v>242</v>
      </c>
      <c r="E342" s="74"/>
      <c r="F342" s="74"/>
      <c r="G342" s="74"/>
      <c r="H342" s="74"/>
      <c r="I342" s="74"/>
      <c r="J342" s="74"/>
      <c r="K342" s="74"/>
    </row>
    <row r="343" spans="1:28" x14ac:dyDescent="0.2">
      <c r="A343" s="49"/>
      <c r="B343" s="49"/>
      <c r="C343" s="55" t="s">
        <v>618</v>
      </c>
      <c r="D343" s="74" t="s">
        <v>242</v>
      </c>
      <c r="E343" s="74"/>
      <c r="F343" s="74"/>
      <c r="G343" s="74"/>
      <c r="H343" s="74"/>
      <c r="I343" s="74"/>
      <c r="J343" s="74"/>
      <c r="K343" s="74"/>
    </row>
    <row r="344" spans="1:28" x14ac:dyDescent="0.2">
      <c r="A344" s="49"/>
      <c r="B344" s="49"/>
      <c r="C344" s="56" t="s">
        <v>611</v>
      </c>
      <c r="D344" s="57">
        <f>Source!BZ279</f>
        <v>90</v>
      </c>
      <c r="E344" s="58">
        <f>(Source!AF279+Source!AE279)*Source!FX279/100</f>
        <v>35.171999999999997</v>
      </c>
      <c r="F344" s="57"/>
      <c r="G344" s="58">
        <f>Source!X279</f>
        <v>24.62</v>
      </c>
      <c r="H344" s="57" t="str">
        <f>CONCATENATE(Source!AT279)</f>
        <v>90</v>
      </c>
      <c r="I344" s="57"/>
      <c r="J344" s="57"/>
      <c r="K344" s="57"/>
    </row>
    <row r="345" spans="1:28" x14ac:dyDescent="0.2">
      <c r="A345" s="49"/>
      <c r="B345" s="49"/>
      <c r="C345" s="56" t="s">
        <v>612</v>
      </c>
      <c r="D345" s="57">
        <f>Source!CA279</f>
        <v>85</v>
      </c>
      <c r="E345" s="58">
        <f>(Source!AF279+Source!AE279)*Source!FY279/100</f>
        <v>28.235299999999999</v>
      </c>
      <c r="F345" s="57" t="str">
        <f>CONCATENATE(Source!DM279,Source!FU279, "=", Source!FY279, "%")</f>
        <v>*0,85=72,25%</v>
      </c>
      <c r="G345" s="58">
        <f>Source!Y279</f>
        <v>19.7</v>
      </c>
      <c r="H345" s="57" t="str">
        <f>CONCATENATE(Source!AU279)</f>
        <v>72</v>
      </c>
      <c r="I345" s="57"/>
      <c r="J345" s="57"/>
      <c r="K345" s="57"/>
    </row>
    <row r="346" spans="1:28" x14ac:dyDescent="0.2">
      <c r="A346" s="49"/>
      <c r="B346" s="49"/>
      <c r="C346" s="56" t="s">
        <v>613</v>
      </c>
      <c r="D346" s="57"/>
      <c r="E346" s="58">
        <f>((Source!AF279+Source!AE279)*Source!FX279/100)+((Source!AF279+Source!AE279)*Source!FY279/100)+Source!AB279</f>
        <v>113.8373</v>
      </c>
      <c r="F346" s="57"/>
      <c r="G346" s="58">
        <f>Source!O279+Source!X279+Source!Y279</f>
        <v>79.62</v>
      </c>
      <c r="H346" s="57"/>
      <c r="I346" s="57"/>
      <c r="J346" s="57"/>
      <c r="K346" s="57"/>
    </row>
    <row r="347" spans="1:28" ht="14.25" x14ac:dyDescent="0.2">
      <c r="A347" s="50" t="str">
        <f>Source!E280</f>
        <v>32</v>
      </c>
      <c r="B347" s="50" t="str">
        <f>Source!F280</f>
        <v>09-08-001-3</v>
      </c>
      <c r="C347" s="51" t="str">
        <f>Source!G280</f>
        <v>Разборка столбов</v>
      </c>
      <c r="D347" s="52">
        <f>Source!I280</f>
        <v>7.0000000000000007E-2</v>
      </c>
      <c r="E347" s="53">
        <f>Source!AB280</f>
        <v>1045.48</v>
      </c>
      <c r="F347" s="53">
        <f>Source!AD280</f>
        <v>831.48</v>
      </c>
      <c r="G347" s="53">
        <f>Source!O280</f>
        <v>73.180000000000007</v>
      </c>
      <c r="H347" s="53">
        <f>Source!S280</f>
        <v>14.98</v>
      </c>
      <c r="I347" s="53">
        <f>Source!Q280</f>
        <v>58.2</v>
      </c>
      <c r="J347" s="53">
        <f>Source!AH280</f>
        <v>30.834999999999997</v>
      </c>
      <c r="K347" s="53">
        <f>Source!U280</f>
        <v>2.1584500000000002</v>
      </c>
      <c r="T347">
        <f>Source!O280+Source!X280+Source!Y280</f>
        <v>122.91</v>
      </c>
      <c r="U347">
        <f>Source!P280</f>
        <v>0</v>
      </c>
      <c r="V347">
        <f>Source!S280</f>
        <v>14.98</v>
      </c>
      <c r="W347">
        <f>Source!Q280</f>
        <v>58.2</v>
      </c>
      <c r="X347">
        <f>Source!R280</f>
        <v>15.72</v>
      </c>
      <c r="Y347">
        <f>Source!U280</f>
        <v>2.1584500000000002</v>
      </c>
      <c r="Z347">
        <f>Source!V280</f>
        <v>1.3817999999999999</v>
      </c>
      <c r="AA347">
        <f>Source!X280</f>
        <v>27.63</v>
      </c>
      <c r="AB347">
        <f>Source!Y280</f>
        <v>22.1</v>
      </c>
    </row>
    <row r="348" spans="1:28" ht="14.25" x14ac:dyDescent="0.2">
      <c r="A348" s="49"/>
      <c r="B348" s="49"/>
      <c r="C348" s="54" t="str">
        <f>Source!H280</f>
        <v>100 столбов</v>
      </c>
      <c r="D348" s="52"/>
      <c r="E348" s="53">
        <f>Source!AF280</f>
        <v>214</v>
      </c>
      <c r="F348" s="53">
        <f>Source!AE280</f>
        <v>224.64</v>
      </c>
      <c r="G348" s="53"/>
      <c r="H348" s="53"/>
      <c r="I348" s="53">
        <f>Source!R280</f>
        <v>15.72</v>
      </c>
      <c r="J348" s="53">
        <f>Source!AI280</f>
        <v>19.739999999999998</v>
      </c>
      <c r="K348" s="53">
        <f>Source!V280</f>
        <v>1.3817999999999999</v>
      </c>
    </row>
    <row r="349" spans="1:28" x14ac:dyDescent="0.2">
      <c r="A349" s="49"/>
      <c r="B349" s="49"/>
      <c r="C349" s="55" t="str">
        <f>"Объем: "&amp;Source!I280&amp;"=7/"&amp;"100"</f>
        <v>Объем: 0,07=7/100</v>
      </c>
      <c r="D349" s="49"/>
      <c r="E349" s="49"/>
      <c r="F349" s="49"/>
      <c r="G349" s="49"/>
      <c r="H349" s="49"/>
      <c r="I349" s="49"/>
      <c r="J349" s="49"/>
      <c r="K349" s="49"/>
    </row>
    <row r="350" spans="1:28" x14ac:dyDescent="0.2">
      <c r="A350" s="49"/>
      <c r="B350" s="49"/>
      <c r="C350" s="55" t="s">
        <v>619</v>
      </c>
      <c r="D350" s="74" t="s">
        <v>241</v>
      </c>
      <c r="E350" s="74"/>
      <c r="F350" s="74"/>
      <c r="G350" s="74"/>
      <c r="H350" s="74"/>
      <c r="I350" s="74"/>
      <c r="J350" s="74"/>
      <c r="K350" s="74"/>
    </row>
    <row r="351" spans="1:28" x14ac:dyDescent="0.2">
      <c r="A351" s="49"/>
      <c r="B351" s="49"/>
      <c r="C351" s="55" t="s">
        <v>614</v>
      </c>
      <c r="D351" s="74" t="s">
        <v>242</v>
      </c>
      <c r="E351" s="74"/>
      <c r="F351" s="74"/>
      <c r="G351" s="74"/>
      <c r="H351" s="74"/>
      <c r="I351" s="74"/>
      <c r="J351" s="74"/>
      <c r="K351" s="74"/>
    </row>
    <row r="352" spans="1:28" x14ac:dyDescent="0.2">
      <c r="A352" s="49"/>
      <c r="B352" s="49"/>
      <c r="C352" s="55" t="s">
        <v>615</v>
      </c>
      <c r="D352" s="74" t="s">
        <v>242</v>
      </c>
      <c r="E352" s="74"/>
      <c r="F352" s="74"/>
      <c r="G352" s="74"/>
      <c r="H352" s="74"/>
      <c r="I352" s="74"/>
      <c r="J352" s="74"/>
      <c r="K352" s="74"/>
    </row>
    <row r="353" spans="1:28" x14ac:dyDescent="0.2">
      <c r="A353" s="49"/>
      <c r="B353" s="49"/>
      <c r="C353" s="55" t="s">
        <v>616</v>
      </c>
      <c r="D353" s="74" t="s">
        <v>242</v>
      </c>
      <c r="E353" s="74"/>
      <c r="F353" s="74"/>
      <c r="G353" s="74"/>
      <c r="H353" s="74"/>
      <c r="I353" s="74"/>
      <c r="J353" s="74"/>
      <c r="K353" s="74"/>
    </row>
    <row r="354" spans="1:28" x14ac:dyDescent="0.2">
      <c r="A354" s="49"/>
      <c r="B354" s="49"/>
      <c r="C354" s="55" t="s">
        <v>617</v>
      </c>
      <c r="D354" s="74" t="s">
        <v>242</v>
      </c>
      <c r="E354" s="74"/>
      <c r="F354" s="74"/>
      <c r="G354" s="74"/>
      <c r="H354" s="74"/>
      <c r="I354" s="74"/>
      <c r="J354" s="74"/>
      <c r="K354" s="74"/>
    </row>
    <row r="355" spans="1:28" x14ac:dyDescent="0.2">
      <c r="A355" s="49"/>
      <c r="B355" s="49"/>
      <c r="C355" s="55" t="s">
        <v>618</v>
      </c>
      <c r="D355" s="74" t="s">
        <v>242</v>
      </c>
      <c r="E355" s="74"/>
      <c r="F355" s="74"/>
      <c r="G355" s="74"/>
      <c r="H355" s="74"/>
      <c r="I355" s="74"/>
      <c r="J355" s="74"/>
      <c r="K355" s="74"/>
    </row>
    <row r="356" spans="1:28" x14ac:dyDescent="0.2">
      <c r="A356" s="49"/>
      <c r="B356" s="49"/>
      <c r="C356" s="56" t="s">
        <v>611</v>
      </c>
      <c r="D356" s="57">
        <f>Source!BZ280</f>
        <v>90</v>
      </c>
      <c r="E356" s="58">
        <f>(Source!AF280+Source!AE280)*Source!FX280/100</f>
        <v>394.77600000000001</v>
      </c>
      <c r="F356" s="57"/>
      <c r="G356" s="58">
        <f>Source!X280</f>
        <v>27.63</v>
      </c>
      <c r="H356" s="57" t="str">
        <f>CONCATENATE(Source!AT280)</f>
        <v>90</v>
      </c>
      <c r="I356" s="57"/>
      <c r="J356" s="57"/>
      <c r="K356" s="57"/>
    </row>
    <row r="357" spans="1:28" x14ac:dyDescent="0.2">
      <c r="A357" s="49"/>
      <c r="B357" s="49"/>
      <c r="C357" s="56" t="s">
        <v>612</v>
      </c>
      <c r="D357" s="57">
        <f>Source!CA280</f>
        <v>85</v>
      </c>
      <c r="E357" s="58">
        <f>(Source!AF280+Source!AE280)*Source!FY280/100</f>
        <v>316.91739999999999</v>
      </c>
      <c r="F357" s="57" t="str">
        <f>CONCATENATE(Source!DM280,Source!FU280, "=", Source!FY280, "%")</f>
        <v>*0,85=72,25%</v>
      </c>
      <c r="G357" s="58">
        <f>Source!Y280</f>
        <v>22.1</v>
      </c>
      <c r="H357" s="57" t="str">
        <f>CONCATENATE(Source!AU280)</f>
        <v>72</v>
      </c>
      <c r="I357" s="57"/>
      <c r="J357" s="57"/>
      <c r="K357" s="57"/>
    </row>
    <row r="358" spans="1:28" x14ac:dyDescent="0.2">
      <c r="A358" s="49"/>
      <c r="B358" s="49"/>
      <c r="C358" s="56" t="s">
        <v>613</v>
      </c>
      <c r="D358" s="57"/>
      <c r="E358" s="58">
        <f>((Source!AF280+Source!AE280)*Source!FX280/100)+((Source!AF280+Source!AE280)*Source!FY280/100)+Source!AB280</f>
        <v>1757.1734000000001</v>
      </c>
      <c r="F358" s="57"/>
      <c r="G358" s="58">
        <f>Source!O280+Source!X280+Source!Y280</f>
        <v>122.91</v>
      </c>
      <c r="H358" s="57"/>
      <c r="I358" s="57"/>
      <c r="J358" s="57"/>
      <c r="K358" s="57"/>
    </row>
    <row r="359" spans="1:28" ht="42.75" x14ac:dyDescent="0.2">
      <c r="A359" s="50" t="str">
        <f>Source!E281</f>
        <v>33</v>
      </c>
      <c r="B359" s="50" t="str">
        <f>Source!F281</f>
        <v>68-12-4</v>
      </c>
      <c r="C359" s="51" t="str">
        <f>Source!G281</f>
        <v>Разборка покрытий и оснований: асфальтобетонных с помощью молотков отбойных</v>
      </c>
      <c r="D359" s="52">
        <f>Source!I281</f>
        <v>0.1</v>
      </c>
      <c r="E359" s="53">
        <f>Source!AB281</f>
        <v>5623.67</v>
      </c>
      <c r="F359" s="53">
        <f>Source!AD281</f>
        <v>3978.62</v>
      </c>
      <c r="G359" s="53">
        <f>Source!O281</f>
        <v>562.37</v>
      </c>
      <c r="H359" s="53">
        <f>Source!S281</f>
        <v>164.51</v>
      </c>
      <c r="I359" s="53">
        <f>Source!Q281</f>
        <v>397.86</v>
      </c>
      <c r="J359" s="53">
        <f>Source!AH281</f>
        <v>243.35</v>
      </c>
      <c r="K359" s="53">
        <f>Source!U281</f>
        <v>24.335000000000001</v>
      </c>
      <c r="T359">
        <f>Source!O281+Source!X281+Source!Y281</f>
        <v>900.39</v>
      </c>
      <c r="U359">
        <f>Source!P281</f>
        <v>0</v>
      </c>
      <c r="V359">
        <f>Source!S281</f>
        <v>164.51</v>
      </c>
      <c r="W359">
        <f>Source!Q281</f>
        <v>397.86</v>
      </c>
      <c r="X359">
        <f>Source!R281</f>
        <v>41.6</v>
      </c>
      <c r="Y359">
        <f>Source!U281</f>
        <v>24.335000000000001</v>
      </c>
      <c r="Z359">
        <f>Source!V281</f>
        <v>4.1390000000000002</v>
      </c>
      <c r="AA359">
        <f>Source!X281</f>
        <v>214.35</v>
      </c>
      <c r="AB359">
        <f>Source!Y281</f>
        <v>123.67</v>
      </c>
    </row>
    <row r="360" spans="1:28" ht="14.25" x14ac:dyDescent="0.2">
      <c r="A360" s="49"/>
      <c r="B360" s="49"/>
      <c r="C360" s="54" t="str">
        <f>Source!H281</f>
        <v>100 м3 конструкций</v>
      </c>
      <c r="D360" s="52"/>
      <c r="E360" s="53">
        <f>Source!AF281</f>
        <v>1645.05</v>
      </c>
      <c r="F360" s="53">
        <f>Source!AE281</f>
        <v>415.97</v>
      </c>
      <c r="G360" s="53"/>
      <c r="H360" s="53"/>
      <c r="I360" s="53">
        <f>Source!R281</f>
        <v>41.6</v>
      </c>
      <c r="J360" s="53">
        <f>Source!AI281</f>
        <v>41.39</v>
      </c>
      <c r="K360" s="53">
        <f>Source!V281</f>
        <v>4.1390000000000002</v>
      </c>
    </row>
    <row r="361" spans="1:28" x14ac:dyDescent="0.2">
      <c r="A361" s="49"/>
      <c r="B361" s="49"/>
      <c r="C361" s="55" t="str">
        <f>"Объем: "&amp;Source!I281&amp;"=10/"&amp;"100"</f>
        <v>Объем: 0,1=10/100</v>
      </c>
      <c r="D361" s="49"/>
      <c r="E361" s="49"/>
      <c r="F361" s="49"/>
      <c r="G361" s="49"/>
      <c r="H361" s="49"/>
      <c r="I361" s="49"/>
      <c r="J361" s="49"/>
      <c r="K361" s="49"/>
    </row>
    <row r="362" spans="1:28" x14ac:dyDescent="0.2">
      <c r="A362" s="49"/>
      <c r="B362" s="49"/>
      <c r="C362" s="56" t="s">
        <v>611</v>
      </c>
      <c r="D362" s="57">
        <f>Source!BZ281</f>
        <v>104</v>
      </c>
      <c r="E362" s="58">
        <f>(Source!AF281+Source!AE281)*Source!FX281/100</f>
        <v>2143.4607999999998</v>
      </c>
      <c r="F362" s="57"/>
      <c r="G362" s="58">
        <f>Source!X281</f>
        <v>214.35</v>
      </c>
      <c r="H362" s="57" t="str">
        <f>CONCATENATE(Source!AT281)</f>
        <v>104</v>
      </c>
      <c r="I362" s="57"/>
      <c r="J362" s="57"/>
      <c r="K362" s="57"/>
    </row>
    <row r="363" spans="1:28" x14ac:dyDescent="0.2">
      <c r="A363" s="49"/>
      <c r="B363" s="49"/>
      <c r="C363" s="56" t="s">
        <v>612</v>
      </c>
      <c r="D363" s="57">
        <f>Source!CA281</f>
        <v>60</v>
      </c>
      <c r="E363" s="58">
        <f>(Source!AF281+Source!AE281)*Source!FY281/100</f>
        <v>1236.6120000000001</v>
      </c>
      <c r="F363" s="57"/>
      <c r="G363" s="58">
        <f>Source!Y281</f>
        <v>123.67</v>
      </c>
      <c r="H363" s="57" t="str">
        <f>CONCATENATE(Source!AU281)</f>
        <v>60</v>
      </c>
      <c r="I363" s="57"/>
      <c r="J363" s="57"/>
      <c r="K363" s="57"/>
    </row>
    <row r="364" spans="1:28" x14ac:dyDescent="0.2">
      <c r="A364" s="49"/>
      <c r="B364" s="49"/>
      <c r="C364" s="56" t="s">
        <v>613</v>
      </c>
      <c r="D364" s="57"/>
      <c r="E364" s="58">
        <f>((Source!AF281+Source!AE281)*Source!FX281/100)+((Source!AF281+Source!AE281)*Source!FY281/100)+Source!AB281</f>
        <v>9003.7428</v>
      </c>
      <c r="F364" s="57"/>
      <c r="G364" s="58">
        <f>Source!O281+Source!X281+Source!Y281</f>
        <v>900.39</v>
      </c>
      <c r="H364" s="57"/>
      <c r="I364" s="57"/>
      <c r="J364" s="57"/>
      <c r="K364" s="57"/>
    </row>
    <row r="365" spans="1:28" ht="71.25" x14ac:dyDescent="0.2">
      <c r="A365" s="50" t="str">
        <f>Source!E282</f>
        <v>34</v>
      </c>
      <c r="B365" s="50" t="str">
        <f>Source!F282</f>
        <v>пг01-01-01-043</v>
      </c>
      <c r="C365" s="51" t="str">
        <f>Source!G282</f>
        <v>Погрузочные работы при автомобильных перевозках: мусора строительного с погрузкой экскаваторами емкостью ковша до 0,5 м3</v>
      </c>
      <c r="D365" s="52">
        <f>Source!I282</f>
        <v>22</v>
      </c>
      <c r="E365" s="53">
        <f>Source!AB282</f>
        <v>3.52</v>
      </c>
      <c r="F365" s="53">
        <f>Source!AD282</f>
        <v>3.52</v>
      </c>
      <c r="G365" s="53">
        <f>Source!O282</f>
        <v>77.44</v>
      </c>
      <c r="H365" s="53">
        <f>Source!S282</f>
        <v>0</v>
      </c>
      <c r="I365" s="53">
        <f>Source!Q282</f>
        <v>77.44</v>
      </c>
      <c r="J365" s="53">
        <f>Source!AH282</f>
        <v>0</v>
      </c>
      <c r="K365" s="53">
        <f>Source!U282</f>
        <v>0</v>
      </c>
      <c r="T365">
        <f>Source!O282+Source!X282+Source!Y282</f>
        <v>77.44</v>
      </c>
      <c r="U365">
        <f>Source!P282</f>
        <v>0</v>
      </c>
      <c r="V365">
        <f>Source!S282</f>
        <v>0</v>
      </c>
      <c r="W365">
        <f>Source!Q282</f>
        <v>77.44</v>
      </c>
      <c r="X365">
        <f>Source!R282</f>
        <v>0</v>
      </c>
      <c r="Y365">
        <f>Source!U282</f>
        <v>0</v>
      </c>
      <c r="Z365">
        <f>Source!V282</f>
        <v>0</v>
      </c>
      <c r="AA365">
        <f>Source!X282</f>
        <v>0</v>
      </c>
      <c r="AB365">
        <f>Source!Y282</f>
        <v>0</v>
      </c>
    </row>
    <row r="366" spans="1:28" ht="14.25" x14ac:dyDescent="0.2">
      <c r="A366" s="49"/>
      <c r="B366" s="49"/>
      <c r="C366" s="54" t="str">
        <f>Source!H282</f>
        <v>1 Т ГРУЗА</v>
      </c>
      <c r="D366" s="52"/>
      <c r="E366" s="53">
        <f>Source!AF282</f>
        <v>0</v>
      </c>
      <c r="F366" s="53">
        <f>Source!AE282</f>
        <v>0</v>
      </c>
      <c r="G366" s="53"/>
      <c r="H366" s="53"/>
      <c r="I366" s="53">
        <f>Source!R282</f>
        <v>0</v>
      </c>
      <c r="J366" s="53">
        <f>Source!AI282</f>
        <v>0</v>
      </c>
      <c r="K366" s="53">
        <f>Source!V282</f>
        <v>0</v>
      </c>
    </row>
    <row r="367" spans="1:28" ht="57" x14ac:dyDescent="0.2">
      <c r="A367" s="50" t="str">
        <f>Source!E283</f>
        <v>35</v>
      </c>
      <c r="B367" s="50" t="str">
        <f>Source!F283</f>
        <v>пг03-21-01-005</v>
      </c>
      <c r="C367" s="51" t="str">
        <f>Source!G283</f>
        <v>Перевозка грузов автомобилями-самосвалами грузоподъемностью 10 т, работающих вне карьера, на расстояние: до 5 км I класс груза</v>
      </c>
      <c r="D367" s="52">
        <f>Source!I283</f>
        <v>22</v>
      </c>
      <c r="E367" s="53">
        <f>Source!AB283</f>
        <v>6.65</v>
      </c>
      <c r="F367" s="53">
        <f>Source!AD283</f>
        <v>6.65</v>
      </c>
      <c r="G367" s="53">
        <f>Source!O283</f>
        <v>146.30000000000001</v>
      </c>
      <c r="H367" s="53">
        <f>Source!S283</f>
        <v>0</v>
      </c>
      <c r="I367" s="53">
        <f>Source!Q283</f>
        <v>146.30000000000001</v>
      </c>
      <c r="J367" s="53">
        <f>Source!AH283</f>
        <v>0</v>
      </c>
      <c r="K367" s="53">
        <f>Source!U283</f>
        <v>0</v>
      </c>
      <c r="T367">
        <f>Source!O283+Source!X283+Source!Y283</f>
        <v>146.30000000000001</v>
      </c>
      <c r="U367">
        <f>Source!P283</f>
        <v>0</v>
      </c>
      <c r="V367">
        <f>Source!S283</f>
        <v>0</v>
      </c>
      <c r="W367">
        <f>Source!Q283</f>
        <v>146.30000000000001</v>
      </c>
      <c r="X367">
        <f>Source!R283</f>
        <v>0</v>
      </c>
      <c r="Y367">
        <f>Source!U283</f>
        <v>0</v>
      </c>
      <c r="Z367">
        <f>Source!V283</f>
        <v>0</v>
      </c>
      <c r="AA367">
        <f>Source!X283</f>
        <v>0</v>
      </c>
      <c r="AB367">
        <f>Source!Y283</f>
        <v>0</v>
      </c>
    </row>
    <row r="368" spans="1:28" ht="14.25" x14ac:dyDescent="0.2">
      <c r="A368" s="49"/>
      <c r="B368" s="49"/>
      <c r="C368" s="54" t="str">
        <f>Source!H283</f>
        <v>1 Т ГРУЗА</v>
      </c>
      <c r="D368" s="52"/>
      <c r="E368" s="53">
        <f>Source!AF283</f>
        <v>0</v>
      </c>
      <c r="F368" s="53">
        <f>Source!AE283</f>
        <v>0</v>
      </c>
      <c r="G368" s="53"/>
      <c r="H368" s="53"/>
      <c r="I368" s="53">
        <f>Source!R283</f>
        <v>0</v>
      </c>
      <c r="J368" s="53">
        <f>Source!AI283</f>
        <v>0</v>
      </c>
      <c r="K368" s="53">
        <f>Source!V283</f>
        <v>0</v>
      </c>
    </row>
    <row r="369" spans="1:28" ht="28.5" x14ac:dyDescent="0.2">
      <c r="A369" s="50" t="str">
        <f>Source!E284</f>
        <v>36</v>
      </c>
      <c r="B369" s="50" t="str">
        <f>Source!F284</f>
        <v>06-01-001-15</v>
      </c>
      <c r="C369" s="51" t="str">
        <f>Source!G284</f>
        <v>Устройство фундаментных плит бетонных плоских</v>
      </c>
      <c r="D369" s="52">
        <f>Source!I284</f>
        <v>2.7699999999999999E-2</v>
      </c>
      <c r="E369" s="53">
        <f>Source!AB284</f>
        <v>56905.75</v>
      </c>
      <c r="F369" s="53">
        <f>Source!AD284</f>
        <v>2201.66</v>
      </c>
      <c r="G369" s="53">
        <f>Source!O284</f>
        <v>1576.3</v>
      </c>
      <c r="H369" s="53">
        <f>Source!S284</f>
        <v>25.83</v>
      </c>
      <c r="I369" s="53">
        <f>Source!Q284</f>
        <v>60.99</v>
      </c>
      <c r="J369" s="53">
        <f>Source!AH284</f>
        <v>134.34299999999999</v>
      </c>
      <c r="K369" s="53">
        <f>Source!U284</f>
        <v>3.7213010999999994</v>
      </c>
      <c r="T369">
        <f>Source!O284+Source!X284+Source!Y284</f>
        <v>1631.86</v>
      </c>
      <c r="U369">
        <f>Source!P284</f>
        <v>1489.48</v>
      </c>
      <c r="V369">
        <f>Source!S284</f>
        <v>25.83</v>
      </c>
      <c r="W369">
        <f>Source!Q284</f>
        <v>60.99</v>
      </c>
      <c r="X369">
        <f>Source!R284</f>
        <v>8.89</v>
      </c>
      <c r="Y369">
        <f>Source!U284</f>
        <v>3.7213010999999994</v>
      </c>
      <c r="Z369">
        <f>Source!V284</f>
        <v>0.67310999999999999</v>
      </c>
      <c r="AA369">
        <f>Source!X284</f>
        <v>36.46</v>
      </c>
      <c r="AB369">
        <f>Source!Y284</f>
        <v>19.100000000000001</v>
      </c>
    </row>
    <row r="370" spans="1:28" ht="28.5" x14ac:dyDescent="0.2">
      <c r="A370" s="49"/>
      <c r="B370" s="49"/>
      <c r="C370" s="54" t="str">
        <f>Source!H284</f>
        <v>100 м3 бетона, бутобетона и железобетона в деле</v>
      </c>
      <c r="D370" s="52"/>
      <c r="E370" s="53">
        <f>Source!AF284</f>
        <v>932.34</v>
      </c>
      <c r="F370" s="53">
        <f>Source!AE284</f>
        <v>321</v>
      </c>
      <c r="G370" s="53"/>
      <c r="H370" s="53"/>
      <c r="I370" s="53">
        <f>Source!R284</f>
        <v>8.89</v>
      </c>
      <c r="J370" s="53">
        <f>Source!AI284</f>
        <v>24.3</v>
      </c>
      <c r="K370" s="53">
        <f>Source!V284</f>
        <v>0.67310999999999999</v>
      </c>
    </row>
    <row r="371" spans="1:28" x14ac:dyDescent="0.2">
      <c r="A371" s="49"/>
      <c r="B371" s="49"/>
      <c r="C371" s="55" t="str">
        <f>"Объем: "&amp;Source!I284&amp;"=2,771/"&amp;"100"</f>
        <v>Объем: 0,0277=2,771/100</v>
      </c>
      <c r="D371" s="49"/>
      <c r="E371" s="49"/>
      <c r="F371" s="49"/>
      <c r="G371" s="49"/>
      <c r="H371" s="49"/>
      <c r="I371" s="49"/>
      <c r="J371" s="49"/>
      <c r="K371" s="49"/>
    </row>
    <row r="372" spans="1:28" x14ac:dyDescent="0.2">
      <c r="A372" s="49"/>
      <c r="B372" s="49"/>
      <c r="C372" s="55" t="s">
        <v>614</v>
      </c>
      <c r="D372" s="74" t="s">
        <v>138</v>
      </c>
      <c r="E372" s="74"/>
      <c r="F372" s="74"/>
      <c r="G372" s="74"/>
      <c r="H372" s="74"/>
      <c r="I372" s="74"/>
      <c r="J372" s="74"/>
      <c r="K372" s="74"/>
    </row>
    <row r="373" spans="1:28" x14ac:dyDescent="0.2">
      <c r="A373" s="49"/>
      <c r="B373" s="49"/>
      <c r="C373" s="55" t="s">
        <v>615</v>
      </c>
      <c r="D373" s="74" t="s">
        <v>138</v>
      </c>
      <c r="E373" s="74"/>
      <c r="F373" s="74"/>
      <c r="G373" s="74"/>
      <c r="H373" s="74"/>
      <c r="I373" s="74"/>
      <c r="J373" s="74"/>
      <c r="K373" s="74"/>
    </row>
    <row r="374" spans="1:28" x14ac:dyDescent="0.2">
      <c r="A374" s="49"/>
      <c r="B374" s="49"/>
      <c r="C374" s="55" t="s">
        <v>616</v>
      </c>
      <c r="D374" s="74" t="s">
        <v>139</v>
      </c>
      <c r="E374" s="74"/>
      <c r="F374" s="74"/>
      <c r="G374" s="74"/>
      <c r="H374" s="74"/>
      <c r="I374" s="74"/>
      <c r="J374" s="74"/>
      <c r="K374" s="74"/>
    </row>
    <row r="375" spans="1:28" x14ac:dyDescent="0.2">
      <c r="A375" s="49"/>
      <c r="B375" s="49"/>
      <c r="C375" s="55" t="s">
        <v>617</v>
      </c>
      <c r="D375" s="74" t="s">
        <v>139</v>
      </c>
      <c r="E375" s="74"/>
      <c r="F375" s="74"/>
      <c r="G375" s="74"/>
      <c r="H375" s="74"/>
      <c r="I375" s="74"/>
      <c r="J375" s="74"/>
      <c r="K375" s="74"/>
    </row>
    <row r="376" spans="1:28" x14ac:dyDescent="0.2">
      <c r="A376" s="49"/>
      <c r="B376" s="49"/>
      <c r="C376" s="55" t="s">
        <v>618</v>
      </c>
      <c r="D376" s="74" t="s">
        <v>138</v>
      </c>
      <c r="E376" s="74"/>
      <c r="F376" s="74"/>
      <c r="G376" s="74"/>
      <c r="H376" s="74"/>
      <c r="I376" s="74"/>
      <c r="J376" s="74"/>
      <c r="K376" s="74"/>
    </row>
    <row r="377" spans="1:28" x14ac:dyDescent="0.2">
      <c r="A377" s="49"/>
      <c r="B377" s="49"/>
      <c r="C377" s="56" t="s">
        <v>611</v>
      </c>
      <c r="D377" s="57">
        <f>Source!BZ284</f>
        <v>105</v>
      </c>
      <c r="E377" s="58">
        <f>(Source!AF284+Source!AE284)*Source!FX284/100</f>
        <v>1316.0070000000001</v>
      </c>
      <c r="F377" s="57"/>
      <c r="G377" s="58">
        <f>Source!X284</f>
        <v>36.46</v>
      </c>
      <c r="H377" s="57" t="str">
        <f>CONCATENATE(Source!AT284)</f>
        <v>105</v>
      </c>
      <c r="I377" s="57"/>
      <c r="J377" s="57"/>
      <c r="K377" s="57"/>
    </row>
    <row r="378" spans="1:28" x14ac:dyDescent="0.2">
      <c r="A378" s="49"/>
      <c r="B378" s="49"/>
      <c r="C378" s="56" t="s">
        <v>612</v>
      </c>
      <c r="D378" s="57">
        <f>Source!CA284</f>
        <v>65</v>
      </c>
      <c r="E378" s="58">
        <f>(Source!AF284+Source!AE284)*Source!FY284/100</f>
        <v>692.47035000000005</v>
      </c>
      <c r="F378" s="57" t="str">
        <f>CONCATENATE(Source!DM284,Source!FU284, "=", Source!FY284, "%")</f>
        <v>*0,85=55,25%</v>
      </c>
      <c r="G378" s="58">
        <f>Source!Y284</f>
        <v>19.100000000000001</v>
      </c>
      <c r="H378" s="57" t="str">
        <f>CONCATENATE(Source!AU284)</f>
        <v>55</v>
      </c>
      <c r="I378" s="57"/>
      <c r="J378" s="57"/>
      <c r="K378" s="57"/>
    </row>
    <row r="379" spans="1:28" x14ac:dyDescent="0.2">
      <c r="A379" s="49"/>
      <c r="B379" s="49"/>
      <c r="C379" s="56" t="s">
        <v>613</v>
      </c>
      <c r="D379" s="57"/>
      <c r="E379" s="58">
        <f>((Source!AF284+Source!AE284)*Source!FX284/100)+((Source!AF284+Source!AE284)*Source!FY284/100)+Source!AB284</f>
        <v>58914.227350000001</v>
      </c>
      <c r="F379" s="57"/>
      <c r="G379" s="58">
        <f>Source!O284+Source!X284+Source!Y284</f>
        <v>1631.86</v>
      </c>
      <c r="H379" s="57"/>
      <c r="I379" s="57"/>
      <c r="J379" s="57"/>
      <c r="K379" s="57"/>
    </row>
    <row r="380" spans="1:28" ht="28.5" x14ac:dyDescent="0.2">
      <c r="A380" s="50" t="str">
        <f>Source!E285</f>
        <v>37</v>
      </c>
      <c r="B380" s="50" t="str">
        <f>Source!F285</f>
        <v>06-01-015-10</v>
      </c>
      <c r="C380" s="51" t="str">
        <f>Source!G285</f>
        <v>Армирование подстилающих слоев и набетонок</v>
      </c>
      <c r="D380" s="52">
        <f>Source!I285</f>
        <v>5.5E-2</v>
      </c>
      <c r="E380" s="53">
        <f>Source!AB285</f>
        <v>5682.12</v>
      </c>
      <c r="F380" s="53">
        <f>Source!AD285</f>
        <v>46.15</v>
      </c>
      <c r="G380" s="53">
        <f>Source!O285</f>
        <v>312.51</v>
      </c>
      <c r="H380" s="53">
        <f>Source!S285</f>
        <v>5.76</v>
      </c>
      <c r="I380" s="53">
        <f>Source!Q285</f>
        <v>2.54</v>
      </c>
      <c r="J380" s="53">
        <f>Source!AH285</f>
        <v>14.536</v>
      </c>
      <c r="K380" s="53">
        <f>Source!U285</f>
        <v>0.79947999999999997</v>
      </c>
      <c r="T380">
        <f>Source!O285+Source!X285+Source!Y285</f>
        <v>321.96999999999997</v>
      </c>
      <c r="U380">
        <f>Source!P285</f>
        <v>304.20999999999998</v>
      </c>
      <c r="V380">
        <f>Source!S285</f>
        <v>5.76</v>
      </c>
      <c r="W380">
        <f>Source!Q285</f>
        <v>2.54</v>
      </c>
      <c r="X380">
        <f>Source!R285</f>
        <v>0.15</v>
      </c>
      <c r="Y380">
        <f>Source!U285</f>
        <v>0.79947999999999997</v>
      </c>
      <c r="Z380">
        <f>Source!V285</f>
        <v>1.1000000000000001E-2</v>
      </c>
      <c r="AA380">
        <f>Source!X285</f>
        <v>6.21</v>
      </c>
      <c r="AB380">
        <f>Source!Y285</f>
        <v>3.25</v>
      </c>
    </row>
    <row r="381" spans="1:28" ht="14.25" x14ac:dyDescent="0.2">
      <c r="A381" s="49"/>
      <c r="B381" s="49"/>
      <c r="C381" s="54" t="str">
        <f>Source!H285</f>
        <v>1 Т</v>
      </c>
      <c r="D381" s="52"/>
      <c r="E381" s="53">
        <f>Source!AF285</f>
        <v>104.8</v>
      </c>
      <c r="F381" s="53">
        <f>Source!AE285</f>
        <v>2.65</v>
      </c>
      <c r="G381" s="53"/>
      <c r="H381" s="53"/>
      <c r="I381" s="53">
        <f>Source!R285</f>
        <v>0.15</v>
      </c>
      <c r="J381" s="53">
        <f>Source!AI285</f>
        <v>0.2</v>
      </c>
      <c r="K381" s="53">
        <f>Source!V285</f>
        <v>1.1000000000000001E-2</v>
      </c>
    </row>
    <row r="382" spans="1:28" x14ac:dyDescent="0.2">
      <c r="A382" s="49"/>
      <c r="B382" s="49"/>
      <c r="C382" s="55" t="s">
        <v>614</v>
      </c>
      <c r="D382" s="74" t="s">
        <v>12</v>
      </c>
      <c r="E382" s="74"/>
      <c r="F382" s="74"/>
      <c r="G382" s="74"/>
      <c r="H382" s="74"/>
      <c r="I382" s="74"/>
      <c r="J382" s="74"/>
      <c r="K382" s="74"/>
    </row>
    <row r="383" spans="1:28" x14ac:dyDescent="0.2">
      <c r="A383" s="49"/>
      <c r="B383" s="49"/>
      <c r="C383" s="55" t="s">
        <v>615</v>
      </c>
      <c r="D383" s="74" t="s">
        <v>12</v>
      </c>
      <c r="E383" s="74"/>
      <c r="F383" s="74"/>
      <c r="G383" s="74"/>
      <c r="H383" s="74"/>
      <c r="I383" s="74"/>
      <c r="J383" s="74"/>
      <c r="K383" s="74"/>
    </row>
    <row r="384" spans="1:28" x14ac:dyDescent="0.2">
      <c r="A384" s="49"/>
      <c r="B384" s="49"/>
      <c r="C384" s="55" t="s">
        <v>616</v>
      </c>
      <c r="D384" s="74" t="s">
        <v>13</v>
      </c>
      <c r="E384" s="74"/>
      <c r="F384" s="74"/>
      <c r="G384" s="74"/>
      <c r="H384" s="74"/>
      <c r="I384" s="74"/>
      <c r="J384" s="74"/>
      <c r="K384" s="74"/>
    </row>
    <row r="385" spans="1:28" x14ac:dyDescent="0.2">
      <c r="A385" s="49"/>
      <c r="B385" s="49"/>
      <c r="C385" s="55" t="s">
        <v>617</v>
      </c>
      <c r="D385" s="74" t="s">
        <v>13</v>
      </c>
      <c r="E385" s="74"/>
      <c r="F385" s="74"/>
      <c r="G385" s="74"/>
      <c r="H385" s="74"/>
      <c r="I385" s="74"/>
      <c r="J385" s="74"/>
      <c r="K385" s="74"/>
    </row>
    <row r="386" spans="1:28" x14ac:dyDescent="0.2">
      <c r="A386" s="49"/>
      <c r="B386" s="49"/>
      <c r="C386" s="55" t="s">
        <v>618</v>
      </c>
      <c r="D386" s="74" t="s">
        <v>12</v>
      </c>
      <c r="E386" s="74"/>
      <c r="F386" s="74"/>
      <c r="G386" s="74"/>
      <c r="H386" s="74"/>
      <c r="I386" s="74"/>
      <c r="J386" s="74"/>
      <c r="K386" s="74"/>
    </row>
    <row r="387" spans="1:28" x14ac:dyDescent="0.2">
      <c r="A387" s="49"/>
      <c r="B387" s="49"/>
      <c r="C387" s="56" t="s">
        <v>611</v>
      </c>
      <c r="D387" s="57">
        <f>Source!BZ285</f>
        <v>105</v>
      </c>
      <c r="E387" s="58">
        <f>(Source!AF285+Source!AE285)*Source!FX285/100</f>
        <v>112.82250000000001</v>
      </c>
      <c r="F387" s="57"/>
      <c r="G387" s="58">
        <f>Source!X285</f>
        <v>6.21</v>
      </c>
      <c r="H387" s="57" t="str">
        <f>CONCATENATE(Source!AT285)</f>
        <v>105</v>
      </c>
      <c r="I387" s="57"/>
      <c r="J387" s="57"/>
      <c r="K387" s="57"/>
    </row>
    <row r="388" spans="1:28" x14ac:dyDescent="0.2">
      <c r="A388" s="49"/>
      <c r="B388" s="49"/>
      <c r="C388" s="56" t="s">
        <v>612</v>
      </c>
      <c r="D388" s="57">
        <f>Source!CA285</f>
        <v>65</v>
      </c>
      <c r="E388" s="58">
        <f>(Source!AF285+Source!AE285)*Source!FY285/100</f>
        <v>59.366125000000004</v>
      </c>
      <c r="F388" s="57" t="str">
        <f>CONCATENATE(Source!DM285,Source!FU285, "=", Source!FY285, "%")</f>
        <v>*0,85=55,25%</v>
      </c>
      <c r="G388" s="58">
        <f>Source!Y285</f>
        <v>3.25</v>
      </c>
      <c r="H388" s="57" t="str">
        <f>CONCATENATE(Source!AU285)</f>
        <v>55</v>
      </c>
      <c r="I388" s="57"/>
      <c r="J388" s="57"/>
      <c r="K388" s="57"/>
    </row>
    <row r="389" spans="1:28" x14ac:dyDescent="0.2">
      <c r="A389" s="49"/>
      <c r="B389" s="49"/>
      <c r="C389" s="56" t="s">
        <v>613</v>
      </c>
      <c r="D389" s="57"/>
      <c r="E389" s="58">
        <f>((Source!AF285+Source!AE285)*Source!FX285/100)+((Source!AF285+Source!AE285)*Source!FY285/100)+Source!AB285</f>
        <v>5854.3086249999997</v>
      </c>
      <c r="F389" s="57"/>
      <c r="G389" s="58">
        <f>Source!O285+Source!X285+Source!Y285</f>
        <v>321.96999999999997</v>
      </c>
      <c r="H389" s="57"/>
      <c r="I389" s="57"/>
      <c r="J389" s="57"/>
      <c r="K389" s="57"/>
    </row>
    <row r="390" spans="1:28" ht="42.75" x14ac:dyDescent="0.2">
      <c r="A390" s="50" t="str">
        <f>Source!E286</f>
        <v>38</v>
      </c>
      <c r="B390" s="50" t="str">
        <f>Source!F286</f>
        <v>09-08-001-3</v>
      </c>
      <c r="C390" s="51" t="str">
        <f>Source!G286</f>
        <v>Установка металлических столбов высотой до 4 м: на подготовленный бетонный фундамент</v>
      </c>
      <c r="D390" s="52">
        <f>Source!I286</f>
        <v>0.16</v>
      </c>
      <c r="E390" s="53">
        <f>Source!AB286</f>
        <v>1836.37</v>
      </c>
      <c r="F390" s="53">
        <f>Source!AD286</f>
        <v>1484.8</v>
      </c>
      <c r="G390" s="53">
        <f>Source!O286</f>
        <v>293.82</v>
      </c>
      <c r="H390" s="53">
        <f>Source!S286</f>
        <v>56.25</v>
      </c>
      <c r="I390" s="53">
        <f>Source!Q286</f>
        <v>237.57</v>
      </c>
      <c r="J390" s="53">
        <f>Source!AH286</f>
        <v>50.657499999999992</v>
      </c>
      <c r="K390" s="53">
        <f>Source!U286</f>
        <v>8.1051999999999982</v>
      </c>
      <c r="T390">
        <f>Source!O286+Source!X286+Source!Y286</f>
        <v>488.91999999999996</v>
      </c>
      <c r="U390">
        <f>Source!P286</f>
        <v>0</v>
      </c>
      <c r="V390">
        <f>Source!S286</f>
        <v>56.25</v>
      </c>
      <c r="W390">
        <f>Source!Q286</f>
        <v>237.57</v>
      </c>
      <c r="X390">
        <f>Source!R286</f>
        <v>64.180000000000007</v>
      </c>
      <c r="Y390">
        <f>Source!U286</f>
        <v>8.1051999999999982</v>
      </c>
      <c r="Z390">
        <f>Source!V286</f>
        <v>5.64</v>
      </c>
      <c r="AA390">
        <f>Source!X286</f>
        <v>108.39</v>
      </c>
      <c r="AB390">
        <f>Source!Y286</f>
        <v>86.71</v>
      </c>
    </row>
    <row r="391" spans="1:28" ht="14.25" x14ac:dyDescent="0.2">
      <c r="A391" s="49"/>
      <c r="B391" s="49"/>
      <c r="C391" s="54" t="str">
        <f>Source!H286</f>
        <v>100 столбов</v>
      </c>
      <c r="D391" s="52"/>
      <c r="E391" s="53">
        <f>Source!AF286</f>
        <v>351.57</v>
      </c>
      <c r="F391" s="53">
        <f>Source!AE286</f>
        <v>401.15</v>
      </c>
      <c r="G391" s="53"/>
      <c r="H391" s="53"/>
      <c r="I391" s="53">
        <f>Source!R286</f>
        <v>64.180000000000007</v>
      </c>
      <c r="J391" s="53">
        <f>Source!AI286</f>
        <v>35.25</v>
      </c>
      <c r="K391" s="53">
        <f>Source!V286</f>
        <v>5.64</v>
      </c>
    </row>
    <row r="392" spans="1:28" x14ac:dyDescent="0.2">
      <c r="A392" s="49"/>
      <c r="B392" s="49"/>
      <c r="C392" s="55" t="str">
        <f>"Объем: "&amp;Source!I286&amp;"=16/"&amp;"100"</f>
        <v>Объем: 0,16=16/100</v>
      </c>
      <c r="D392" s="49"/>
      <c r="E392" s="49"/>
      <c r="F392" s="49"/>
      <c r="G392" s="49"/>
      <c r="H392" s="49"/>
      <c r="I392" s="49"/>
      <c r="J392" s="49"/>
      <c r="K392" s="49"/>
    </row>
    <row r="393" spans="1:28" x14ac:dyDescent="0.2">
      <c r="A393" s="49"/>
      <c r="B393" s="49"/>
      <c r="C393" s="55" t="s">
        <v>614</v>
      </c>
      <c r="D393" s="74" t="s">
        <v>12</v>
      </c>
      <c r="E393" s="74"/>
      <c r="F393" s="74"/>
      <c r="G393" s="74"/>
      <c r="H393" s="74"/>
      <c r="I393" s="74"/>
      <c r="J393" s="74"/>
      <c r="K393" s="74"/>
    </row>
    <row r="394" spans="1:28" x14ac:dyDescent="0.2">
      <c r="A394" s="49"/>
      <c r="B394" s="49"/>
      <c r="C394" s="55" t="s">
        <v>615</v>
      </c>
      <c r="D394" s="74" t="s">
        <v>12</v>
      </c>
      <c r="E394" s="74"/>
      <c r="F394" s="74"/>
      <c r="G394" s="74"/>
      <c r="H394" s="74"/>
      <c r="I394" s="74"/>
      <c r="J394" s="74"/>
      <c r="K394" s="74"/>
    </row>
    <row r="395" spans="1:28" x14ac:dyDescent="0.2">
      <c r="A395" s="49"/>
      <c r="B395" s="49"/>
      <c r="C395" s="55" t="s">
        <v>616</v>
      </c>
      <c r="D395" s="74" t="s">
        <v>13</v>
      </c>
      <c r="E395" s="74"/>
      <c r="F395" s="74"/>
      <c r="G395" s="74"/>
      <c r="H395" s="74"/>
      <c r="I395" s="74"/>
      <c r="J395" s="74"/>
      <c r="K395" s="74"/>
    </row>
    <row r="396" spans="1:28" x14ac:dyDescent="0.2">
      <c r="A396" s="49"/>
      <c r="B396" s="49"/>
      <c r="C396" s="55" t="s">
        <v>617</v>
      </c>
      <c r="D396" s="74" t="s">
        <v>13</v>
      </c>
      <c r="E396" s="74"/>
      <c r="F396" s="74"/>
      <c r="G396" s="74"/>
      <c r="H396" s="74"/>
      <c r="I396" s="74"/>
      <c r="J396" s="74"/>
      <c r="K396" s="74"/>
    </row>
    <row r="397" spans="1:28" x14ac:dyDescent="0.2">
      <c r="A397" s="49"/>
      <c r="B397" s="49"/>
      <c r="C397" s="55" t="s">
        <v>618</v>
      </c>
      <c r="D397" s="74" t="s">
        <v>12</v>
      </c>
      <c r="E397" s="74"/>
      <c r="F397" s="74"/>
      <c r="G397" s="74"/>
      <c r="H397" s="74"/>
      <c r="I397" s="74"/>
      <c r="J397" s="74"/>
      <c r="K397" s="74"/>
    </row>
    <row r="398" spans="1:28" x14ac:dyDescent="0.2">
      <c r="A398" s="49"/>
      <c r="B398" s="49"/>
      <c r="C398" s="56" t="s">
        <v>611</v>
      </c>
      <c r="D398" s="57">
        <f>Source!BZ286</f>
        <v>90</v>
      </c>
      <c r="E398" s="58">
        <f>(Source!AF286+Source!AE286)*Source!FX286/100</f>
        <v>677.44799999999998</v>
      </c>
      <c r="F398" s="57"/>
      <c r="G398" s="58">
        <f>Source!X286</f>
        <v>108.39</v>
      </c>
      <c r="H398" s="57" t="str">
        <f>CONCATENATE(Source!AT286)</f>
        <v>90</v>
      </c>
      <c r="I398" s="57"/>
      <c r="J398" s="57"/>
      <c r="K398" s="57"/>
    </row>
    <row r="399" spans="1:28" x14ac:dyDescent="0.2">
      <c r="A399" s="49"/>
      <c r="B399" s="49"/>
      <c r="C399" s="56" t="s">
        <v>612</v>
      </c>
      <c r="D399" s="57">
        <f>Source!CA286</f>
        <v>85</v>
      </c>
      <c r="E399" s="58">
        <f>(Source!AF286+Source!AE286)*Source!FY286/100</f>
        <v>543.8402000000001</v>
      </c>
      <c r="F399" s="57" t="str">
        <f>CONCATENATE(Source!DM286,Source!FU286, "=", Source!FY286, "%")</f>
        <v>*0,85=72,25%</v>
      </c>
      <c r="G399" s="58">
        <f>Source!Y286</f>
        <v>86.71</v>
      </c>
      <c r="H399" s="57" t="str">
        <f>CONCATENATE(Source!AU286)</f>
        <v>72</v>
      </c>
      <c r="I399" s="57"/>
      <c r="J399" s="57"/>
      <c r="K399" s="57"/>
    </row>
    <row r="400" spans="1:28" x14ac:dyDescent="0.2">
      <c r="A400" s="49"/>
      <c r="B400" s="49"/>
      <c r="C400" s="56" t="s">
        <v>613</v>
      </c>
      <c r="D400" s="57"/>
      <c r="E400" s="58">
        <f>((Source!AF286+Source!AE286)*Source!FX286/100)+((Source!AF286+Source!AE286)*Source!FY286/100)+Source!AB286</f>
        <v>3057.6581999999999</v>
      </c>
      <c r="F400" s="57"/>
      <c r="G400" s="58">
        <f>Source!O286+Source!X286+Source!Y286</f>
        <v>488.91999999999996</v>
      </c>
      <c r="H400" s="57"/>
      <c r="I400" s="57"/>
      <c r="J400" s="57"/>
      <c r="K400" s="57"/>
    </row>
    <row r="401" spans="1:28" ht="14.25" x14ac:dyDescent="0.2">
      <c r="A401" s="50" t="str">
        <f>Source!E287</f>
        <v>38,1</v>
      </c>
      <c r="B401" s="50" t="str">
        <f>Source!F287</f>
        <v>101-1929</v>
      </c>
      <c r="C401" s="51" t="str">
        <f>Source!G287</f>
        <v>Болты анкерные</v>
      </c>
      <c r="D401" s="52">
        <f>Source!I287</f>
        <v>8.4799999999999997E-3</v>
      </c>
      <c r="E401" s="53">
        <f>Source!AB287</f>
        <v>9291.35</v>
      </c>
      <c r="F401" s="53">
        <f>Source!AD287</f>
        <v>0</v>
      </c>
      <c r="G401" s="53">
        <f>Source!O287</f>
        <v>78.790000000000006</v>
      </c>
      <c r="H401" s="53">
        <f>Source!S287</f>
        <v>0</v>
      </c>
      <c r="I401" s="53">
        <f>Source!Q287</f>
        <v>0</v>
      </c>
      <c r="J401" s="53">
        <f>Source!AH287</f>
        <v>0</v>
      </c>
      <c r="K401" s="53">
        <f>Source!U287</f>
        <v>0</v>
      </c>
      <c r="T401">
        <f>Source!O287+Source!X287+Source!Y287</f>
        <v>78.790000000000006</v>
      </c>
      <c r="U401">
        <f>Source!P287</f>
        <v>78.790000000000006</v>
      </c>
      <c r="V401">
        <f>Source!S287</f>
        <v>0</v>
      </c>
      <c r="W401">
        <f>Source!Q287</f>
        <v>0</v>
      </c>
      <c r="X401">
        <f>Source!R287</f>
        <v>0</v>
      </c>
      <c r="Y401">
        <f>Source!U287</f>
        <v>0</v>
      </c>
      <c r="Z401">
        <f>Source!V287</f>
        <v>0</v>
      </c>
      <c r="AA401">
        <f>Source!X287</f>
        <v>0</v>
      </c>
      <c r="AB401">
        <f>Source!Y287</f>
        <v>0</v>
      </c>
    </row>
    <row r="402" spans="1:28" ht="14.25" x14ac:dyDescent="0.2">
      <c r="A402" s="49"/>
      <c r="B402" s="49"/>
      <c r="C402" s="54" t="str">
        <f>Source!H287</f>
        <v>т</v>
      </c>
      <c r="D402" s="52"/>
      <c r="E402" s="53">
        <f>Source!AF287</f>
        <v>0</v>
      </c>
      <c r="F402" s="53">
        <f>Source!AE287</f>
        <v>0</v>
      </c>
      <c r="G402" s="53"/>
      <c r="H402" s="53"/>
      <c r="I402" s="53">
        <f>Source!R287</f>
        <v>0</v>
      </c>
      <c r="J402" s="53">
        <f>Source!AI287</f>
        <v>0</v>
      </c>
      <c r="K402" s="53">
        <f>Source!V287</f>
        <v>0</v>
      </c>
    </row>
    <row r="403" spans="1:28" ht="42.75" x14ac:dyDescent="0.2">
      <c r="A403" s="50" t="str">
        <f>Source!E288</f>
        <v>38,2</v>
      </c>
      <c r="B403" s="50" t="str">
        <f>Source!F288</f>
        <v>103-1485</v>
      </c>
      <c r="C403" s="51" t="str">
        <f>Source!G288</f>
        <v>Трубы стальные квадратные (ГОСТ 8639-82) размером 40х40 мм, толщина стенки 3 мм</v>
      </c>
      <c r="D403" s="52">
        <f>Source!I288</f>
        <v>34.28</v>
      </c>
      <c r="E403" s="53">
        <f>Source!AB288</f>
        <v>25.88</v>
      </c>
      <c r="F403" s="53">
        <f>Source!AD288</f>
        <v>0</v>
      </c>
      <c r="G403" s="53">
        <f>Source!O288</f>
        <v>887.17</v>
      </c>
      <c r="H403" s="53">
        <f>Source!S288</f>
        <v>0</v>
      </c>
      <c r="I403" s="53">
        <f>Source!Q288</f>
        <v>0</v>
      </c>
      <c r="J403" s="53">
        <f>Source!AH288</f>
        <v>0</v>
      </c>
      <c r="K403" s="53">
        <f>Source!U288</f>
        <v>0</v>
      </c>
      <c r="T403">
        <f>Source!O288+Source!X288+Source!Y288</f>
        <v>887.17</v>
      </c>
      <c r="U403">
        <f>Source!P288</f>
        <v>887.17</v>
      </c>
      <c r="V403">
        <f>Source!S288</f>
        <v>0</v>
      </c>
      <c r="W403">
        <f>Source!Q288</f>
        <v>0</v>
      </c>
      <c r="X403">
        <f>Source!R288</f>
        <v>0</v>
      </c>
      <c r="Y403">
        <f>Source!U288</f>
        <v>0</v>
      </c>
      <c r="Z403">
        <f>Source!V288</f>
        <v>0</v>
      </c>
      <c r="AA403">
        <f>Source!X288</f>
        <v>0</v>
      </c>
      <c r="AB403">
        <f>Source!Y288</f>
        <v>0</v>
      </c>
    </row>
    <row r="404" spans="1:28" ht="14.25" x14ac:dyDescent="0.2">
      <c r="A404" s="49"/>
      <c r="B404" s="49"/>
      <c r="C404" s="54" t="str">
        <f>Source!H288</f>
        <v>м</v>
      </c>
      <c r="D404" s="52"/>
      <c r="E404" s="53">
        <f>Source!AF288</f>
        <v>0</v>
      </c>
      <c r="F404" s="53">
        <f>Source!AE288</f>
        <v>0</v>
      </c>
      <c r="G404" s="53"/>
      <c r="H404" s="53"/>
      <c r="I404" s="53">
        <f>Source!R288</f>
        <v>0</v>
      </c>
      <c r="J404" s="53">
        <f>Source!AI288</f>
        <v>0</v>
      </c>
      <c r="K404" s="53">
        <f>Source!V288</f>
        <v>0</v>
      </c>
    </row>
    <row r="405" spans="1:28" ht="42.75" x14ac:dyDescent="0.2">
      <c r="A405" s="50" t="str">
        <f>Source!E289</f>
        <v>39</v>
      </c>
      <c r="B405" s="50" t="str">
        <f>Source!F289</f>
        <v>09-08-002-5</v>
      </c>
      <c r="C405" s="51" t="str">
        <f>Source!G289</f>
        <v>Устройство заграждений из готовых металлических решетчатых панелей: высотой до 2 м</v>
      </c>
      <c r="D405" s="52">
        <f>Source!I289</f>
        <v>2.6</v>
      </c>
      <c r="E405" s="53">
        <f>Source!AB289</f>
        <v>85.11</v>
      </c>
      <c r="F405" s="53">
        <f>Source!AD289</f>
        <v>28.37</v>
      </c>
      <c r="G405" s="53">
        <f>Source!O289</f>
        <v>221.28</v>
      </c>
      <c r="H405" s="53">
        <f>Source!S289</f>
        <v>147.52000000000001</v>
      </c>
      <c r="I405" s="53">
        <f>Source!Q289</f>
        <v>73.760000000000005</v>
      </c>
      <c r="J405" s="53">
        <f>Source!AH289</f>
        <v>8.176499999999999</v>
      </c>
      <c r="K405" s="53">
        <f>Source!U289</f>
        <v>21.258899999999997</v>
      </c>
      <c r="T405">
        <f>Source!O289+Source!X289+Source!Y289</f>
        <v>494.42999999999995</v>
      </c>
      <c r="U405">
        <f>Source!P289</f>
        <v>0</v>
      </c>
      <c r="V405">
        <f>Source!S289</f>
        <v>147.52000000000001</v>
      </c>
      <c r="W405">
        <f>Source!Q289</f>
        <v>73.760000000000005</v>
      </c>
      <c r="X405">
        <f>Source!R289</f>
        <v>21.09</v>
      </c>
      <c r="Y405">
        <f>Source!U289</f>
        <v>21.258899999999997</v>
      </c>
      <c r="Z405">
        <f>Source!V289</f>
        <v>1.8524999999999998</v>
      </c>
      <c r="AA405">
        <f>Source!X289</f>
        <v>151.75</v>
      </c>
      <c r="AB405">
        <f>Source!Y289</f>
        <v>121.4</v>
      </c>
    </row>
    <row r="406" spans="1:28" ht="14.25" x14ac:dyDescent="0.2">
      <c r="A406" s="49"/>
      <c r="B406" s="49"/>
      <c r="C406" s="54" t="str">
        <f>Source!H289</f>
        <v>10 панелей</v>
      </c>
      <c r="D406" s="52"/>
      <c r="E406" s="53">
        <f>Source!AF289</f>
        <v>56.74</v>
      </c>
      <c r="F406" s="53">
        <f>Source!AE289</f>
        <v>8.11</v>
      </c>
      <c r="G406" s="53"/>
      <c r="H406" s="53"/>
      <c r="I406" s="53">
        <f>Source!R289</f>
        <v>21.09</v>
      </c>
      <c r="J406" s="53">
        <f>Source!AI289</f>
        <v>0.71249999999999991</v>
      </c>
      <c r="K406" s="53">
        <f>Source!V289</f>
        <v>1.8524999999999998</v>
      </c>
    </row>
    <row r="407" spans="1:28" x14ac:dyDescent="0.2">
      <c r="A407" s="49"/>
      <c r="B407" s="49"/>
      <c r="C407" s="55" t="str">
        <f>"Объем: "&amp;Source!I289&amp;"=26/"&amp;"10"</f>
        <v>Объем: 2,6=26/10</v>
      </c>
      <c r="D407" s="49"/>
      <c r="E407" s="49"/>
      <c r="F407" s="49"/>
      <c r="G407" s="49"/>
      <c r="H407" s="49"/>
      <c r="I407" s="49"/>
      <c r="J407" s="49"/>
      <c r="K407" s="49"/>
    </row>
    <row r="408" spans="1:28" x14ac:dyDescent="0.2">
      <c r="A408" s="49"/>
      <c r="B408" s="49"/>
      <c r="C408" s="55" t="s">
        <v>614</v>
      </c>
      <c r="D408" s="74" t="s">
        <v>138</v>
      </c>
      <c r="E408" s="74"/>
      <c r="F408" s="74"/>
      <c r="G408" s="74"/>
      <c r="H408" s="74"/>
      <c r="I408" s="74"/>
      <c r="J408" s="74"/>
      <c r="K408" s="74"/>
    </row>
    <row r="409" spans="1:28" x14ac:dyDescent="0.2">
      <c r="A409" s="49"/>
      <c r="B409" s="49"/>
      <c r="C409" s="55" t="s">
        <v>615</v>
      </c>
      <c r="D409" s="74" t="s">
        <v>138</v>
      </c>
      <c r="E409" s="74"/>
      <c r="F409" s="74"/>
      <c r="G409" s="74"/>
      <c r="H409" s="74"/>
      <c r="I409" s="74"/>
      <c r="J409" s="74"/>
      <c r="K409" s="74"/>
    </row>
    <row r="410" spans="1:28" x14ac:dyDescent="0.2">
      <c r="A410" s="49"/>
      <c r="B410" s="49"/>
      <c r="C410" s="55" t="s">
        <v>616</v>
      </c>
      <c r="D410" s="74" t="s">
        <v>139</v>
      </c>
      <c r="E410" s="74"/>
      <c r="F410" s="74"/>
      <c r="G410" s="74"/>
      <c r="H410" s="74"/>
      <c r="I410" s="74"/>
      <c r="J410" s="74"/>
      <c r="K410" s="74"/>
    </row>
    <row r="411" spans="1:28" x14ac:dyDescent="0.2">
      <c r="A411" s="49"/>
      <c r="B411" s="49"/>
      <c r="C411" s="55" t="s">
        <v>617</v>
      </c>
      <c r="D411" s="74" t="s">
        <v>139</v>
      </c>
      <c r="E411" s="74"/>
      <c r="F411" s="74"/>
      <c r="G411" s="74"/>
      <c r="H411" s="74"/>
      <c r="I411" s="74"/>
      <c r="J411" s="74"/>
      <c r="K411" s="74"/>
    </row>
    <row r="412" spans="1:28" x14ac:dyDescent="0.2">
      <c r="A412" s="49"/>
      <c r="B412" s="49"/>
      <c r="C412" s="55" t="s">
        <v>618</v>
      </c>
      <c r="D412" s="74" t="s">
        <v>138</v>
      </c>
      <c r="E412" s="74"/>
      <c r="F412" s="74"/>
      <c r="G412" s="74"/>
      <c r="H412" s="74"/>
      <c r="I412" s="74"/>
      <c r="J412" s="74"/>
      <c r="K412" s="74"/>
    </row>
    <row r="413" spans="1:28" x14ac:dyDescent="0.2">
      <c r="A413" s="49"/>
      <c r="B413" s="49"/>
      <c r="C413" s="56" t="s">
        <v>611</v>
      </c>
      <c r="D413" s="57">
        <f>Source!BZ289</f>
        <v>90</v>
      </c>
      <c r="E413" s="58">
        <f>(Source!AF289+Source!AE289)*Source!FX289/100</f>
        <v>58.364999999999988</v>
      </c>
      <c r="F413" s="57"/>
      <c r="G413" s="58">
        <f>Source!X289</f>
        <v>151.75</v>
      </c>
      <c r="H413" s="57" t="str">
        <f>CONCATENATE(Source!AT289)</f>
        <v>90</v>
      </c>
      <c r="I413" s="57"/>
      <c r="J413" s="57"/>
      <c r="K413" s="57"/>
    </row>
    <row r="414" spans="1:28" x14ac:dyDescent="0.2">
      <c r="A414" s="49"/>
      <c r="B414" s="49"/>
      <c r="C414" s="56" t="s">
        <v>612</v>
      </c>
      <c r="D414" s="57">
        <f>Source!CA289</f>
        <v>85</v>
      </c>
      <c r="E414" s="58">
        <f>(Source!AF289+Source!AE289)*Source!FY289/100</f>
        <v>46.854124999999996</v>
      </c>
      <c r="F414" s="57" t="str">
        <f>CONCATENATE(Source!DM289,Source!FU289, "=", Source!FY289, "%")</f>
        <v>*0,85=72,25%</v>
      </c>
      <c r="G414" s="58">
        <f>Source!Y289</f>
        <v>121.4</v>
      </c>
      <c r="H414" s="57" t="str">
        <f>CONCATENATE(Source!AU289)</f>
        <v>72</v>
      </c>
      <c r="I414" s="57"/>
      <c r="J414" s="57"/>
      <c r="K414" s="57"/>
    </row>
    <row r="415" spans="1:28" x14ac:dyDescent="0.2">
      <c r="A415" s="49"/>
      <c r="B415" s="49"/>
      <c r="C415" s="56" t="s">
        <v>613</v>
      </c>
      <c r="D415" s="57"/>
      <c r="E415" s="58">
        <f>((Source!AF289+Source!AE289)*Source!FX289/100)+((Source!AF289+Source!AE289)*Source!FY289/100)+Source!AB289</f>
        <v>190.32912499999998</v>
      </c>
      <c r="F415" s="57"/>
      <c r="G415" s="58">
        <f>Source!O289+Source!X289+Source!Y289</f>
        <v>494.42999999999995</v>
      </c>
      <c r="H415" s="57"/>
      <c r="I415" s="57"/>
      <c r="J415" s="57"/>
      <c r="K415" s="57"/>
    </row>
    <row r="416" spans="1:28" ht="42.75" x14ac:dyDescent="0.2">
      <c r="A416" s="50" t="str">
        <f>Source!E290</f>
        <v>39,1</v>
      </c>
      <c r="B416" s="50" t="str">
        <f>Source!F290</f>
        <v>103-1742</v>
      </c>
      <c r="C416" s="51" t="str">
        <f>Source!G290</f>
        <v>Трубы стальные прямоугольные (ГОСТ 8645-86) размером 35х20 мм, толщина стенки 3 мм</v>
      </c>
      <c r="D416" s="52">
        <f>Source!I290</f>
        <v>97.5</v>
      </c>
      <c r="E416" s="53">
        <f>Source!AB290</f>
        <v>16.579999999999998</v>
      </c>
      <c r="F416" s="53">
        <f>Source!AD290</f>
        <v>0</v>
      </c>
      <c r="G416" s="53">
        <f>Source!O290</f>
        <v>1616.55</v>
      </c>
      <c r="H416" s="53">
        <f>Source!S290</f>
        <v>0</v>
      </c>
      <c r="I416" s="53">
        <f>Source!Q290</f>
        <v>0</v>
      </c>
      <c r="J416" s="53">
        <f>Source!AH290</f>
        <v>0</v>
      </c>
      <c r="K416" s="53">
        <f>Source!U290</f>
        <v>0</v>
      </c>
      <c r="T416">
        <f>Source!O290+Source!X290+Source!Y290</f>
        <v>1616.55</v>
      </c>
      <c r="U416">
        <f>Source!P290</f>
        <v>1616.55</v>
      </c>
      <c r="V416">
        <f>Source!S290</f>
        <v>0</v>
      </c>
      <c r="W416">
        <f>Source!Q290</f>
        <v>0</v>
      </c>
      <c r="X416">
        <f>Source!R290</f>
        <v>0</v>
      </c>
      <c r="Y416">
        <f>Source!U290</f>
        <v>0</v>
      </c>
      <c r="Z416">
        <f>Source!V290</f>
        <v>0</v>
      </c>
      <c r="AA416">
        <f>Source!X290</f>
        <v>0</v>
      </c>
      <c r="AB416">
        <f>Source!Y290</f>
        <v>0</v>
      </c>
    </row>
    <row r="417" spans="1:28" ht="14.25" x14ac:dyDescent="0.2">
      <c r="A417" s="49"/>
      <c r="B417" s="49"/>
      <c r="C417" s="54" t="str">
        <f>Source!H290</f>
        <v>м</v>
      </c>
      <c r="D417" s="52"/>
      <c r="E417" s="53">
        <f>Source!AF290</f>
        <v>0</v>
      </c>
      <c r="F417" s="53">
        <f>Source!AE290</f>
        <v>0</v>
      </c>
      <c r="G417" s="53"/>
      <c r="H417" s="53"/>
      <c r="I417" s="53">
        <f>Source!R290</f>
        <v>0</v>
      </c>
      <c r="J417" s="53">
        <f>Source!AI290</f>
        <v>0</v>
      </c>
      <c r="K417" s="53">
        <f>Source!V290</f>
        <v>0</v>
      </c>
    </row>
    <row r="418" spans="1:28" ht="28.5" x14ac:dyDescent="0.2">
      <c r="A418" s="50" t="str">
        <f>Source!E291</f>
        <v>39,2</v>
      </c>
      <c r="B418" s="50" t="str">
        <f>Source!F291</f>
        <v>101-3034</v>
      </c>
      <c r="C418" s="51" t="str">
        <f>Source!G291</f>
        <v>Профилированный настил окрашенный С21-1000-0,5</v>
      </c>
      <c r="D418" s="52">
        <f>Source!I291</f>
        <v>0.27100000000000002</v>
      </c>
      <c r="E418" s="53">
        <f>Source!AB291</f>
        <v>12683.81</v>
      </c>
      <c r="F418" s="53">
        <f>Source!AD291</f>
        <v>0</v>
      </c>
      <c r="G418" s="53">
        <f>Source!O291</f>
        <v>3437.31</v>
      </c>
      <c r="H418" s="53">
        <f>Source!S291</f>
        <v>0</v>
      </c>
      <c r="I418" s="53">
        <f>Source!Q291</f>
        <v>0</v>
      </c>
      <c r="J418" s="53">
        <f>Source!AH291</f>
        <v>0</v>
      </c>
      <c r="K418" s="53">
        <f>Source!U291</f>
        <v>0</v>
      </c>
      <c r="T418">
        <f>Source!O291+Source!X291+Source!Y291</f>
        <v>3437.31</v>
      </c>
      <c r="U418">
        <f>Source!P291</f>
        <v>3437.31</v>
      </c>
      <c r="V418">
        <f>Source!S291</f>
        <v>0</v>
      </c>
      <c r="W418">
        <f>Source!Q291</f>
        <v>0</v>
      </c>
      <c r="X418">
        <f>Source!R291</f>
        <v>0</v>
      </c>
      <c r="Y418">
        <f>Source!U291</f>
        <v>0</v>
      </c>
      <c r="Z418">
        <f>Source!V291</f>
        <v>0</v>
      </c>
      <c r="AA418">
        <f>Source!X291</f>
        <v>0</v>
      </c>
      <c r="AB418">
        <f>Source!Y291</f>
        <v>0</v>
      </c>
    </row>
    <row r="419" spans="1:28" ht="14.25" x14ac:dyDescent="0.2">
      <c r="A419" s="49"/>
      <c r="B419" s="49"/>
      <c r="C419" s="54" t="str">
        <f>Source!H291</f>
        <v>т</v>
      </c>
      <c r="D419" s="52"/>
      <c r="E419" s="53">
        <f>Source!AF291</f>
        <v>0</v>
      </c>
      <c r="F419" s="53">
        <f>Source!AE291</f>
        <v>0</v>
      </c>
      <c r="G419" s="53"/>
      <c r="H419" s="53"/>
      <c r="I419" s="53">
        <f>Source!R291</f>
        <v>0</v>
      </c>
      <c r="J419" s="53">
        <f>Source!AI291</f>
        <v>0</v>
      </c>
      <c r="K419" s="53">
        <f>Source!V291</f>
        <v>0</v>
      </c>
    </row>
    <row r="420" spans="1:28" ht="28.5" x14ac:dyDescent="0.2">
      <c r="A420" s="50" t="str">
        <f>Source!E292</f>
        <v>39,3</v>
      </c>
      <c r="B420" s="50" t="str">
        <f>Source!F292</f>
        <v>101-5867</v>
      </c>
      <c r="C420" s="51" t="str">
        <f>Source!G292</f>
        <v>Шурупы самосверлящие (саморезы) SL4-F (SFS) 4,8х16 мм</v>
      </c>
      <c r="D420" s="52">
        <f>Source!I292</f>
        <v>54.2</v>
      </c>
      <c r="E420" s="53">
        <f>Source!AB292</f>
        <v>10.93</v>
      </c>
      <c r="F420" s="53">
        <f>Source!AD292</f>
        <v>0</v>
      </c>
      <c r="G420" s="53">
        <f>Source!O292</f>
        <v>592.41</v>
      </c>
      <c r="H420" s="53">
        <f>Source!S292</f>
        <v>0</v>
      </c>
      <c r="I420" s="53">
        <f>Source!Q292</f>
        <v>0</v>
      </c>
      <c r="J420" s="53">
        <f>Source!AH292</f>
        <v>0</v>
      </c>
      <c r="K420" s="53">
        <f>Source!U292</f>
        <v>0</v>
      </c>
      <c r="T420">
        <f>Source!O292+Source!X292+Source!Y292</f>
        <v>592.41</v>
      </c>
      <c r="U420">
        <f>Source!P292</f>
        <v>592.41</v>
      </c>
      <c r="V420">
        <f>Source!S292</f>
        <v>0</v>
      </c>
      <c r="W420">
        <f>Source!Q292</f>
        <v>0</v>
      </c>
      <c r="X420">
        <f>Source!R292</f>
        <v>0</v>
      </c>
      <c r="Y420">
        <f>Source!U292</f>
        <v>0</v>
      </c>
      <c r="Z420">
        <f>Source!V292</f>
        <v>0</v>
      </c>
      <c r="AA420">
        <f>Source!X292</f>
        <v>0</v>
      </c>
      <c r="AB420">
        <f>Source!Y292</f>
        <v>0</v>
      </c>
    </row>
    <row r="421" spans="1:28" ht="14.25" x14ac:dyDescent="0.2">
      <c r="A421" s="49"/>
      <c r="B421" s="49"/>
      <c r="C421" s="54" t="str">
        <f>Source!H292</f>
        <v>10 шт.</v>
      </c>
      <c r="D421" s="52"/>
      <c r="E421" s="53">
        <f>Source!AF292</f>
        <v>0</v>
      </c>
      <c r="F421" s="53">
        <f>Source!AE292</f>
        <v>0</v>
      </c>
      <c r="G421" s="53"/>
      <c r="H421" s="53"/>
      <c r="I421" s="53">
        <f>Source!R292</f>
        <v>0</v>
      </c>
      <c r="J421" s="53">
        <f>Source!AI292</f>
        <v>0</v>
      </c>
      <c r="K421" s="53">
        <f>Source!V292</f>
        <v>0</v>
      </c>
    </row>
    <row r="422" spans="1:28" ht="42.75" x14ac:dyDescent="0.2">
      <c r="A422" s="50" t="str">
        <f>Source!E293</f>
        <v>40</v>
      </c>
      <c r="B422" s="50" t="str">
        <f>Source!F293</f>
        <v>13-03-002-4</v>
      </c>
      <c r="C422" s="51" t="str">
        <f>Source!G293</f>
        <v>Огрунтовка металлических поверхностей за один раз: грунтовкой ГФ-021</v>
      </c>
      <c r="D422" s="52">
        <f>Source!I293</f>
        <v>0.14299999999999999</v>
      </c>
      <c r="E422" s="53">
        <f>Source!AB293</f>
        <v>253.7</v>
      </c>
      <c r="F422" s="53">
        <f>Source!AD293</f>
        <v>11.78</v>
      </c>
      <c r="G422" s="53">
        <f>Source!O293</f>
        <v>36.270000000000003</v>
      </c>
      <c r="H422" s="53">
        <f>Source!S293</f>
        <v>7.56</v>
      </c>
      <c r="I422" s="53">
        <f>Source!Q293</f>
        <v>1.68</v>
      </c>
      <c r="J422" s="53">
        <f>Source!AH293</f>
        <v>6.1064999999999987</v>
      </c>
      <c r="K422" s="53">
        <f>Source!U293</f>
        <v>0.87322949999999977</v>
      </c>
      <c r="T422">
        <f>Source!O293+Source!X293+Source!Y293</f>
        <v>47.64</v>
      </c>
      <c r="U422">
        <f>Source!P293</f>
        <v>27.03</v>
      </c>
      <c r="V422">
        <f>Source!S293</f>
        <v>7.56</v>
      </c>
      <c r="W422">
        <f>Source!Q293</f>
        <v>1.68</v>
      </c>
      <c r="X422">
        <f>Source!R293</f>
        <v>0.02</v>
      </c>
      <c r="Y422">
        <f>Source!U293</f>
        <v>0.87322949999999977</v>
      </c>
      <c r="Z422">
        <f>Source!V293</f>
        <v>1.7875E-3</v>
      </c>
      <c r="AA422">
        <f>Source!X293</f>
        <v>6.82</v>
      </c>
      <c r="AB422">
        <f>Source!Y293</f>
        <v>4.55</v>
      </c>
    </row>
    <row r="423" spans="1:28" ht="14.25" x14ac:dyDescent="0.2">
      <c r="A423" s="49"/>
      <c r="B423" s="49"/>
      <c r="C423" s="54" t="str">
        <f>Source!H293</f>
        <v>100 м2 окрашиваемой поверхности</v>
      </c>
      <c r="D423" s="52"/>
      <c r="E423" s="53">
        <f>Source!AF293</f>
        <v>52.88</v>
      </c>
      <c r="F423" s="53">
        <f>Source!AE293</f>
        <v>0.13</v>
      </c>
      <c r="G423" s="53"/>
      <c r="H423" s="53"/>
      <c r="I423" s="53">
        <f>Source!R293</f>
        <v>0.02</v>
      </c>
      <c r="J423" s="53">
        <f>Source!AI293</f>
        <v>1.2500000000000001E-2</v>
      </c>
      <c r="K423" s="53">
        <f>Source!V293</f>
        <v>1.7875E-3</v>
      </c>
    </row>
    <row r="424" spans="1:28" x14ac:dyDescent="0.2">
      <c r="A424" s="49"/>
      <c r="B424" s="49"/>
      <c r="C424" s="55" t="str">
        <f>"Объем: "&amp;Source!I293&amp;"=((0,1152+"&amp;"0,2135)*"&amp;"43,5)/"&amp;"100"</f>
        <v>Объем: 0,143=((0,1152+0,2135)*43,5)/100</v>
      </c>
      <c r="D424" s="49"/>
      <c r="E424" s="49"/>
      <c r="F424" s="49"/>
      <c r="G424" s="49"/>
      <c r="H424" s="49"/>
      <c r="I424" s="49"/>
      <c r="J424" s="49"/>
      <c r="K424" s="49"/>
    </row>
    <row r="425" spans="1:28" x14ac:dyDescent="0.2">
      <c r="A425" s="49"/>
      <c r="B425" s="49"/>
      <c r="C425" s="55" t="s">
        <v>614</v>
      </c>
      <c r="D425" s="74" t="s">
        <v>12</v>
      </c>
      <c r="E425" s="74"/>
      <c r="F425" s="74"/>
      <c r="G425" s="74"/>
      <c r="H425" s="74"/>
      <c r="I425" s="74"/>
      <c r="J425" s="74"/>
      <c r="K425" s="74"/>
    </row>
    <row r="426" spans="1:28" x14ac:dyDescent="0.2">
      <c r="A426" s="49"/>
      <c r="B426" s="49"/>
      <c r="C426" s="55" t="s">
        <v>615</v>
      </c>
      <c r="D426" s="74" t="s">
        <v>12</v>
      </c>
      <c r="E426" s="74"/>
      <c r="F426" s="74"/>
      <c r="G426" s="74"/>
      <c r="H426" s="74"/>
      <c r="I426" s="74"/>
      <c r="J426" s="74"/>
      <c r="K426" s="74"/>
    </row>
    <row r="427" spans="1:28" x14ac:dyDescent="0.2">
      <c r="A427" s="49"/>
      <c r="B427" s="49"/>
      <c r="C427" s="55" t="s">
        <v>616</v>
      </c>
      <c r="D427" s="74" t="s">
        <v>13</v>
      </c>
      <c r="E427" s="74"/>
      <c r="F427" s="74"/>
      <c r="G427" s="74"/>
      <c r="H427" s="74"/>
      <c r="I427" s="74"/>
      <c r="J427" s="74"/>
      <c r="K427" s="74"/>
    </row>
    <row r="428" spans="1:28" x14ac:dyDescent="0.2">
      <c r="A428" s="49"/>
      <c r="B428" s="49"/>
      <c r="C428" s="55" t="s">
        <v>617</v>
      </c>
      <c r="D428" s="74" t="s">
        <v>13</v>
      </c>
      <c r="E428" s="74"/>
      <c r="F428" s="74"/>
      <c r="G428" s="74"/>
      <c r="H428" s="74"/>
      <c r="I428" s="74"/>
      <c r="J428" s="74"/>
      <c r="K428" s="74"/>
    </row>
    <row r="429" spans="1:28" x14ac:dyDescent="0.2">
      <c r="A429" s="49"/>
      <c r="B429" s="49"/>
      <c r="C429" s="55" t="s">
        <v>618</v>
      </c>
      <c r="D429" s="74" t="s">
        <v>12</v>
      </c>
      <c r="E429" s="74"/>
      <c r="F429" s="74"/>
      <c r="G429" s="74"/>
      <c r="H429" s="74"/>
      <c r="I429" s="74"/>
      <c r="J429" s="74"/>
      <c r="K429" s="74"/>
    </row>
    <row r="430" spans="1:28" x14ac:dyDescent="0.2">
      <c r="A430" s="49"/>
      <c r="B430" s="49"/>
      <c r="C430" s="56" t="s">
        <v>611</v>
      </c>
      <c r="D430" s="57">
        <f>Source!BZ293</f>
        <v>90</v>
      </c>
      <c r="E430" s="58">
        <f>(Source!AF293+Source!AE293)*Source!FX293/100</f>
        <v>47.709000000000003</v>
      </c>
      <c r="F430" s="57"/>
      <c r="G430" s="58">
        <f>Source!X293</f>
        <v>6.82</v>
      </c>
      <c r="H430" s="57" t="str">
        <f>CONCATENATE(Source!AT293)</f>
        <v>90</v>
      </c>
      <c r="I430" s="57"/>
      <c r="J430" s="57"/>
      <c r="K430" s="57"/>
    </row>
    <row r="431" spans="1:28" x14ac:dyDescent="0.2">
      <c r="A431" s="49"/>
      <c r="B431" s="49"/>
      <c r="C431" s="56" t="s">
        <v>612</v>
      </c>
      <c r="D431" s="57">
        <f>Source!CA293</f>
        <v>70</v>
      </c>
      <c r="E431" s="58">
        <f>(Source!AF293+Source!AE293)*Source!FY293/100</f>
        <v>31.540950000000002</v>
      </c>
      <c r="F431" s="57" t="str">
        <f>CONCATENATE(Source!DM293,Source!FU293, "=", Source!FY293, "%")</f>
        <v>*0,85=59,5%</v>
      </c>
      <c r="G431" s="58">
        <f>Source!Y293</f>
        <v>4.55</v>
      </c>
      <c r="H431" s="57" t="str">
        <f>CONCATENATE(Source!AU293)</f>
        <v>60</v>
      </c>
      <c r="I431" s="57"/>
      <c r="J431" s="57"/>
      <c r="K431" s="57"/>
    </row>
    <row r="432" spans="1:28" x14ac:dyDescent="0.2">
      <c r="A432" s="49"/>
      <c r="B432" s="49"/>
      <c r="C432" s="56" t="s">
        <v>613</v>
      </c>
      <c r="D432" s="57"/>
      <c r="E432" s="58">
        <f>((Source!AF293+Source!AE293)*Source!FX293/100)+((Source!AF293+Source!AE293)*Source!FY293/100)+Source!AB293</f>
        <v>332.94995</v>
      </c>
      <c r="F432" s="57"/>
      <c r="G432" s="58">
        <f>Source!O293+Source!X293+Source!Y293</f>
        <v>47.64</v>
      </c>
      <c r="H432" s="57"/>
      <c r="I432" s="57"/>
      <c r="J432" s="57"/>
      <c r="K432" s="57"/>
    </row>
    <row r="433" spans="1:33" ht="28.5" x14ac:dyDescent="0.2">
      <c r="A433" s="50" t="str">
        <f>Source!E294</f>
        <v>41</v>
      </c>
      <c r="B433" s="50" t="str">
        <f>Source!F294</f>
        <v>13-03-004-26</v>
      </c>
      <c r="C433" s="51" t="str">
        <f>Source!G294</f>
        <v>Окраска металлических огрунтованных поверхностей: эмалью ПФ-115</v>
      </c>
      <c r="D433" s="52">
        <f>Source!I294</f>
        <v>0.14299999999999999</v>
      </c>
      <c r="E433" s="53">
        <f>Source!AB294</f>
        <v>317.16000000000003</v>
      </c>
      <c r="F433" s="53">
        <f>Source!AD294</f>
        <v>7.77</v>
      </c>
      <c r="G433" s="53">
        <f>Source!O294</f>
        <v>45.35</v>
      </c>
      <c r="H433" s="53">
        <f>Source!S294</f>
        <v>4.6500000000000004</v>
      </c>
      <c r="I433" s="53">
        <f>Source!Q294</f>
        <v>1.1100000000000001</v>
      </c>
      <c r="J433" s="53">
        <f>Source!AH294</f>
        <v>4.4044999999999996</v>
      </c>
      <c r="K433" s="53">
        <f>Source!U294</f>
        <v>0.62984349999999989</v>
      </c>
      <c r="T433">
        <f>Source!O294+Source!X294+Source!Y294</f>
        <v>52.35</v>
      </c>
      <c r="U433">
        <f>Source!P294</f>
        <v>39.590000000000003</v>
      </c>
      <c r="V433">
        <f>Source!S294</f>
        <v>4.6500000000000004</v>
      </c>
      <c r="W433">
        <f>Source!Q294</f>
        <v>1.1100000000000001</v>
      </c>
      <c r="X433">
        <f>Source!R294</f>
        <v>0.02</v>
      </c>
      <c r="Y433">
        <f>Source!U294</f>
        <v>0.62984349999999989</v>
      </c>
      <c r="Z433">
        <f>Source!V294</f>
        <v>1.7875E-3</v>
      </c>
      <c r="AA433">
        <f>Source!X294</f>
        <v>4.2</v>
      </c>
      <c r="AB433">
        <f>Source!Y294</f>
        <v>2.8</v>
      </c>
    </row>
    <row r="434" spans="1:33" ht="14.25" x14ac:dyDescent="0.2">
      <c r="A434" s="49"/>
      <c r="B434" s="49"/>
      <c r="C434" s="54" t="str">
        <f>Source!H294</f>
        <v>100 м2 окрашиваемой поверхности</v>
      </c>
      <c r="D434" s="52"/>
      <c r="E434" s="53">
        <f>Source!AF294</f>
        <v>32.51</v>
      </c>
      <c r="F434" s="53">
        <f>Source!AE294</f>
        <v>0.13</v>
      </c>
      <c r="G434" s="53"/>
      <c r="H434" s="53"/>
      <c r="I434" s="53">
        <f>Source!R294</f>
        <v>0.02</v>
      </c>
      <c r="J434" s="53">
        <f>Source!AI294</f>
        <v>1.2500000000000001E-2</v>
      </c>
      <c r="K434" s="53">
        <f>Source!V294</f>
        <v>1.7875E-3</v>
      </c>
    </row>
    <row r="435" spans="1:33" x14ac:dyDescent="0.2">
      <c r="A435" s="49"/>
      <c r="B435" s="49"/>
      <c r="C435" s="55" t="s">
        <v>614</v>
      </c>
      <c r="D435" s="74" t="s">
        <v>12</v>
      </c>
      <c r="E435" s="74"/>
      <c r="F435" s="74"/>
      <c r="G435" s="74"/>
      <c r="H435" s="74"/>
      <c r="I435" s="74"/>
      <c r="J435" s="74"/>
      <c r="K435" s="74"/>
    </row>
    <row r="436" spans="1:33" x14ac:dyDescent="0.2">
      <c r="A436" s="49"/>
      <c r="B436" s="49"/>
      <c r="C436" s="55" t="s">
        <v>615</v>
      </c>
      <c r="D436" s="74" t="s">
        <v>12</v>
      </c>
      <c r="E436" s="74"/>
      <c r="F436" s="74"/>
      <c r="G436" s="74"/>
      <c r="H436" s="74"/>
      <c r="I436" s="74"/>
      <c r="J436" s="74"/>
      <c r="K436" s="74"/>
    </row>
    <row r="437" spans="1:33" x14ac:dyDescent="0.2">
      <c r="A437" s="49"/>
      <c r="B437" s="49"/>
      <c r="C437" s="55" t="s">
        <v>616</v>
      </c>
      <c r="D437" s="74" t="s">
        <v>13</v>
      </c>
      <c r="E437" s="74"/>
      <c r="F437" s="74"/>
      <c r="G437" s="74"/>
      <c r="H437" s="74"/>
      <c r="I437" s="74"/>
      <c r="J437" s="74"/>
      <c r="K437" s="74"/>
    </row>
    <row r="438" spans="1:33" x14ac:dyDescent="0.2">
      <c r="A438" s="49"/>
      <c r="B438" s="49"/>
      <c r="C438" s="55" t="s">
        <v>617</v>
      </c>
      <c r="D438" s="74" t="s">
        <v>13</v>
      </c>
      <c r="E438" s="74"/>
      <c r="F438" s="74"/>
      <c r="G438" s="74"/>
      <c r="H438" s="74"/>
      <c r="I438" s="74"/>
      <c r="J438" s="74"/>
      <c r="K438" s="74"/>
    </row>
    <row r="439" spans="1:33" x14ac:dyDescent="0.2">
      <c r="A439" s="49"/>
      <c r="B439" s="49"/>
      <c r="C439" s="55" t="s">
        <v>618</v>
      </c>
      <c r="D439" s="74" t="s">
        <v>12</v>
      </c>
      <c r="E439" s="74"/>
      <c r="F439" s="74"/>
      <c r="G439" s="74"/>
      <c r="H439" s="74"/>
      <c r="I439" s="74"/>
      <c r="J439" s="74"/>
      <c r="K439" s="74"/>
    </row>
    <row r="440" spans="1:33" x14ac:dyDescent="0.2">
      <c r="A440" s="49"/>
      <c r="B440" s="49"/>
      <c r="C440" s="56" t="s">
        <v>611</v>
      </c>
      <c r="D440" s="57">
        <f>Source!BZ294</f>
        <v>90</v>
      </c>
      <c r="E440" s="58">
        <f>(Source!AF294+Source!AE294)*Source!FX294/100</f>
        <v>29.375999999999998</v>
      </c>
      <c r="F440" s="57"/>
      <c r="G440" s="58">
        <f>Source!X294</f>
        <v>4.2</v>
      </c>
      <c r="H440" s="57" t="str">
        <f>CONCATENATE(Source!AT294)</f>
        <v>90</v>
      </c>
      <c r="I440" s="57"/>
      <c r="J440" s="57"/>
      <c r="K440" s="57"/>
    </row>
    <row r="441" spans="1:33" x14ac:dyDescent="0.2">
      <c r="A441" s="49"/>
      <c r="B441" s="49"/>
      <c r="C441" s="56" t="s">
        <v>612</v>
      </c>
      <c r="D441" s="57">
        <f>Source!CA294</f>
        <v>70</v>
      </c>
      <c r="E441" s="58">
        <f>(Source!AF294+Source!AE294)*Source!FY294/100</f>
        <v>19.4208</v>
      </c>
      <c r="F441" s="57" t="str">
        <f>CONCATENATE(Source!DM294,Source!FU294, "=", Source!FY294, "%")</f>
        <v>*0,85=59,5%</v>
      </c>
      <c r="G441" s="58">
        <f>Source!Y294</f>
        <v>2.8</v>
      </c>
      <c r="H441" s="57" t="str">
        <f>CONCATENATE(Source!AU294)</f>
        <v>60</v>
      </c>
      <c r="I441" s="57"/>
      <c r="J441" s="57"/>
      <c r="K441" s="57"/>
    </row>
    <row r="442" spans="1:33" x14ac:dyDescent="0.2">
      <c r="A442" s="49"/>
      <c r="B442" s="49"/>
      <c r="C442" s="56" t="s">
        <v>613</v>
      </c>
      <c r="D442" s="57"/>
      <c r="E442" s="58">
        <f>((Source!AF294+Source!AE294)*Source!FX294/100)+((Source!AF294+Source!AE294)*Source!FY294/100)+Source!AB294</f>
        <v>365.95680000000004</v>
      </c>
      <c r="F442" s="57"/>
      <c r="G442" s="58">
        <f>Source!O294+Source!X294+Source!Y294</f>
        <v>52.35</v>
      </c>
      <c r="H442" s="57"/>
      <c r="I442" s="57"/>
      <c r="J442" s="57"/>
      <c r="K442" s="57"/>
    </row>
    <row r="443" spans="1:33" x14ac:dyDescent="0.2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</row>
    <row r="444" spans="1:33" ht="15" x14ac:dyDescent="0.25">
      <c r="A444" s="59"/>
      <c r="B444" s="59"/>
      <c r="C444" s="70" t="str">
        <f>CONCATENATE("Итого по подразделу: ",IF(Source!G296&lt;&gt;"Новый подраздел", Source!G296, ""))</f>
        <v>Итого по подразделу: Площадка для мусорных контейнеров</v>
      </c>
      <c r="D444" s="70"/>
      <c r="E444" s="70"/>
      <c r="F444" s="70"/>
      <c r="G444" s="60">
        <f>IF(SUM(T334:T443)=0, "-", SUM(T334:T443))</f>
        <v>10976.06</v>
      </c>
      <c r="H444" s="60">
        <f>IF(SUM(V334:V443)=0, "-", SUM(V334:V443))</f>
        <v>451.23999999999995</v>
      </c>
      <c r="I444" s="60">
        <f>IF(SUM(W334:W443)=0, "-", SUM(W334:W443))</f>
        <v>1068.57</v>
      </c>
      <c r="J444" s="60"/>
      <c r="K444" s="60">
        <f>IF(SUM(Y334:Y443)=0, "-", SUM(Y334:Y443))</f>
        <v>65.365304100000003</v>
      </c>
      <c r="AG444" s="14" t="str">
        <f>CONCATENATE("Итого по подразделу: ",IF(Source!G296&lt;&gt;"Новый подраздел", Source!G296, ""))</f>
        <v>Итого по подразделу: Площадка для мусорных контейнеров</v>
      </c>
    </row>
    <row r="445" spans="1:33" ht="15" x14ac:dyDescent="0.25">
      <c r="A445" s="59"/>
      <c r="B445" s="59"/>
      <c r="C445" s="59"/>
      <c r="D445" s="59"/>
      <c r="E445" s="59"/>
      <c r="F445" s="59"/>
      <c r="G445" s="60"/>
      <c r="H445" s="60"/>
      <c r="I445" s="60">
        <f>IF(SUM(X334:X443)=0, "-", SUM(X334:X443))</f>
        <v>154.85000000000005</v>
      </c>
      <c r="J445" s="60"/>
      <c r="K445" s="60">
        <f>IF(SUM(Z334:Z443)=0, "-", SUM(Z334:Z443))</f>
        <v>13.980285000000002</v>
      </c>
    </row>
    <row r="446" spans="1:33" x14ac:dyDescent="0.2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</row>
    <row r="447" spans="1:33" x14ac:dyDescent="0.2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</row>
    <row r="448" spans="1:33" x14ac:dyDescent="0.2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</row>
    <row r="449" spans="1:11" x14ac:dyDescent="0.2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</row>
    <row r="450" spans="1:11" ht="15" x14ac:dyDescent="0.25">
      <c r="A450" s="59"/>
      <c r="B450" s="59"/>
      <c r="C450" s="70" t="str">
        <f>CONCATENATE("Итого по локальной смете: ",IF(Source!G363&lt;&gt;"Новая локальная смета", Source!G363, ""))</f>
        <v xml:space="preserve">Итого по локальной смете: </v>
      </c>
      <c r="D450" s="70"/>
      <c r="E450" s="70"/>
      <c r="F450" s="70"/>
      <c r="G450" s="60">
        <f>IF(SUM(T22:T449)=0, "-", SUM(T22:T449))</f>
        <v>202743.71000000005</v>
      </c>
      <c r="H450" s="60">
        <f>IF(SUM(V22:V449)=0, "-", SUM(V22:V449))</f>
        <v>5114.7400000000007</v>
      </c>
      <c r="I450" s="60">
        <f>IF(SUM(W22:W449)=0, "-", SUM(W22:W449))</f>
        <v>23024.38</v>
      </c>
      <c r="J450" s="60"/>
      <c r="K450" s="60">
        <f>IF(SUM(Y22:Y449)=0, "-", SUM(Y22:Y449))</f>
        <v>731.61551144999976</v>
      </c>
    </row>
    <row r="451" spans="1:11" ht="15" x14ac:dyDescent="0.25">
      <c r="A451" s="59"/>
      <c r="B451" s="59"/>
      <c r="C451" s="59"/>
      <c r="D451" s="59"/>
      <c r="E451" s="59"/>
      <c r="F451" s="59"/>
      <c r="G451" s="60"/>
      <c r="H451" s="60"/>
      <c r="I451" s="60">
        <f>IF(SUM(X22:X449)=0, "-", SUM(X22:X449))</f>
        <v>1588.5400000000004</v>
      </c>
      <c r="J451" s="60"/>
      <c r="K451" s="60">
        <f>IF(SUM(Z22:Z449)=0, "-", SUM(Z22:Z449))</f>
        <v>128.76012399999999</v>
      </c>
    </row>
    <row r="452" spans="1:11" x14ac:dyDescent="0.2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</row>
    <row r="453" spans="1:11" x14ac:dyDescent="0.2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</row>
    <row r="454" spans="1:11" ht="14.25" x14ac:dyDescent="0.2">
      <c r="A454" s="49"/>
      <c r="B454" s="49"/>
      <c r="C454" s="72" t="str">
        <f>Source!H389</f>
        <v>Накладные расходы</v>
      </c>
      <c r="D454" s="72"/>
      <c r="E454" s="72"/>
      <c r="F454" s="72"/>
      <c r="G454" s="72"/>
      <c r="H454" s="73">
        <f>IF(Source!F389=0, "", Source!F389)</f>
        <v>8371.42</v>
      </c>
      <c r="I454" s="73"/>
      <c r="J454" s="49"/>
      <c r="K454" s="49"/>
    </row>
    <row r="455" spans="1:11" ht="14.25" x14ac:dyDescent="0.2">
      <c r="A455" s="49"/>
      <c r="B455" s="49"/>
      <c r="C455" s="72" t="str">
        <f>Source!H390</f>
        <v>Сметная прибыль</v>
      </c>
      <c r="D455" s="72"/>
      <c r="E455" s="72"/>
      <c r="F455" s="72"/>
      <c r="G455" s="72"/>
      <c r="H455" s="73">
        <f>IF(Source!F390=0, "", Source!F390)</f>
        <v>4824.72</v>
      </c>
      <c r="I455" s="73"/>
      <c r="J455" s="49"/>
      <c r="K455" s="49"/>
    </row>
    <row r="456" spans="1:11" ht="14.25" x14ac:dyDescent="0.2">
      <c r="A456" s="49"/>
      <c r="B456" s="49"/>
      <c r="C456" s="72" t="str">
        <f>Source!H391</f>
        <v>Всего с НР и СП</v>
      </c>
      <c r="D456" s="72"/>
      <c r="E456" s="72"/>
      <c r="F456" s="72"/>
      <c r="G456" s="72"/>
      <c r="H456" s="73">
        <f>IF(Source!F391=0, "", Source!F391)</f>
        <v>202743.71</v>
      </c>
      <c r="I456" s="73"/>
      <c r="J456" s="49"/>
      <c r="K456" s="49"/>
    </row>
    <row r="457" spans="1:11" s="48" customFormat="1" ht="15" x14ac:dyDescent="0.25">
      <c r="A457" s="61"/>
      <c r="B457" s="61"/>
      <c r="C457" s="70" t="str">
        <f>Source!H392</f>
        <v>Индекс на 3 квартал 2020г. -8,21</v>
      </c>
      <c r="D457" s="70"/>
      <c r="E457" s="70"/>
      <c r="F457" s="70"/>
      <c r="G457" s="70"/>
      <c r="H457" s="71">
        <f>IF(Source!F392=0, "", Source!F392)</f>
        <v>1664525.86</v>
      </c>
      <c r="I457" s="71"/>
      <c r="J457" s="61"/>
      <c r="K457" s="61"/>
    </row>
    <row r="458" spans="1:11" s="48" customFormat="1" ht="15" x14ac:dyDescent="0.25">
      <c r="A458" s="61"/>
      <c r="B458" s="61"/>
      <c r="C458" s="70" t="str">
        <f>Source!H393</f>
        <v>НДС 20%</v>
      </c>
      <c r="D458" s="70"/>
      <c r="E458" s="70"/>
      <c r="F458" s="70"/>
      <c r="G458" s="70"/>
      <c r="H458" s="71">
        <f>IF(Source!F393=0, "", Source!F393)</f>
        <v>332905.17</v>
      </c>
      <c r="I458" s="71"/>
      <c r="J458" s="61"/>
      <c r="K458" s="61"/>
    </row>
    <row r="459" spans="1:11" s="48" customFormat="1" ht="15" x14ac:dyDescent="0.25">
      <c r="A459" s="61"/>
      <c r="B459" s="61"/>
      <c r="C459" s="70" t="str">
        <f>Source!H394</f>
        <v>Всего по смете</v>
      </c>
      <c r="D459" s="70"/>
      <c r="E459" s="70"/>
      <c r="F459" s="70"/>
      <c r="G459" s="70"/>
      <c r="H459" s="71">
        <f>IF(Source!F394=0, "", Source!F394)</f>
        <v>1997431.03</v>
      </c>
      <c r="I459" s="71"/>
      <c r="J459" s="61"/>
      <c r="K459" s="61"/>
    </row>
    <row r="460" spans="1:11" ht="14.25" x14ac:dyDescent="0.2">
      <c r="C460" s="68" t="str">
        <f>Source!H395</f>
        <v/>
      </c>
      <c r="D460" s="68"/>
      <c r="E460" s="68"/>
      <c r="F460" s="68"/>
      <c r="G460" s="68"/>
      <c r="H460" s="69" t="str">
        <f>IF(Source!F395=0, "", Source!F395)</f>
        <v/>
      </c>
      <c r="I460" s="69"/>
    </row>
    <row r="461" spans="1:11" ht="14.25" x14ac:dyDescent="0.2">
      <c r="C461" s="68" t="str">
        <f>Source!H396</f>
        <v>Возврат материалов по акту комиссии</v>
      </c>
      <c r="D461" s="68"/>
      <c r="E461" s="68"/>
      <c r="F461" s="68"/>
      <c r="G461" s="68"/>
      <c r="H461" s="69" t="str">
        <f>IF(Source!F396=0, "", Source!F396)</f>
        <v/>
      </c>
      <c r="I461" s="69"/>
    </row>
    <row r="464" spans="1:11" ht="14.25" x14ac:dyDescent="0.2">
      <c r="A464" s="62" t="s">
        <v>623</v>
      </c>
      <c r="B464" s="62"/>
      <c r="C464" s="15" t="str">
        <f>IF(Source!AC12&lt;&gt;"", Source!AC12," ")</f>
        <v xml:space="preserve"> </v>
      </c>
      <c r="D464" s="16"/>
      <c r="E464" s="16"/>
      <c r="F464" s="16"/>
      <c r="G464" s="16"/>
      <c r="H464" s="16"/>
      <c r="I464" s="11" t="str">
        <f>IF(Source!AB12&lt;&gt;"", Source!AB12," ")</f>
        <v xml:space="preserve"> </v>
      </c>
      <c r="J464" s="9"/>
      <c r="K464" s="9"/>
    </row>
    <row r="465" spans="1:11" ht="14.25" x14ac:dyDescent="0.2">
      <c r="A465" s="9"/>
      <c r="B465" s="9"/>
      <c r="C465" s="63" t="s">
        <v>624</v>
      </c>
      <c r="D465" s="63"/>
      <c r="E465" s="63"/>
      <c r="F465" s="63"/>
      <c r="G465" s="63"/>
      <c r="H465" s="63"/>
      <c r="I465" s="9"/>
      <c r="J465" s="9"/>
      <c r="K465" s="9"/>
    </row>
    <row r="466" spans="1:11" ht="14.25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</row>
    <row r="467" spans="1:11" ht="14.25" x14ac:dyDescent="0.2">
      <c r="A467" s="62" t="s">
        <v>625</v>
      </c>
      <c r="B467" s="62"/>
      <c r="C467" s="15" t="str">
        <f>IF(Source!AE12&lt;&gt;"", Source!AE12," ")</f>
        <v xml:space="preserve"> </v>
      </c>
      <c r="D467" s="16"/>
      <c r="E467" s="16"/>
      <c r="F467" s="16"/>
      <c r="G467" s="16"/>
      <c r="H467" s="16"/>
      <c r="I467" s="11" t="str">
        <f>IF(Source!AD12&lt;&gt;"", Source!AD12," ")</f>
        <v xml:space="preserve"> </v>
      </c>
      <c r="J467" s="9"/>
      <c r="K467" s="9"/>
    </row>
    <row r="468" spans="1:11" ht="14.25" x14ac:dyDescent="0.2">
      <c r="A468" s="9"/>
      <c r="B468" s="9"/>
      <c r="C468" s="63" t="s">
        <v>624</v>
      </c>
      <c r="D468" s="63"/>
      <c r="E468" s="63"/>
      <c r="F468" s="63"/>
      <c r="G468" s="63"/>
      <c r="H468" s="63"/>
      <c r="I468" s="9"/>
      <c r="J468" s="9"/>
      <c r="K468" s="9"/>
    </row>
  </sheetData>
  <mergeCells count="207">
    <mergeCell ref="A13:E15"/>
    <mergeCell ref="F13:H13"/>
    <mergeCell ref="I13:J13"/>
    <mergeCell ref="F14:H14"/>
    <mergeCell ref="I14:J14"/>
    <mergeCell ref="F15:H15"/>
    <mergeCell ref="I15:J15"/>
    <mergeCell ref="A23:K23"/>
    <mergeCell ref="A25:K25"/>
    <mergeCell ref="A16:A20"/>
    <mergeCell ref="B16:B20"/>
    <mergeCell ref="C16:C20"/>
    <mergeCell ref="D47:K47"/>
    <mergeCell ref="D48:K48"/>
    <mergeCell ref="D49:K49"/>
    <mergeCell ref="D50:K50"/>
    <mergeCell ref="J16:K18"/>
    <mergeCell ref="E17:E18"/>
    <mergeCell ref="F17:F18"/>
    <mergeCell ref="G17:G20"/>
    <mergeCell ref="H17:H20"/>
    <mergeCell ref="I17:I18"/>
    <mergeCell ref="E19:E20"/>
    <mergeCell ref="F19:F20"/>
    <mergeCell ref="I19:I20"/>
    <mergeCell ref="J19:K19"/>
    <mergeCell ref="D16:D20"/>
    <mergeCell ref="E16:F16"/>
    <mergeCell ref="G16:I16"/>
    <mergeCell ref="D75:K75"/>
    <mergeCell ref="D76:K76"/>
    <mergeCell ref="D77:K77"/>
    <mergeCell ref="D78:K78"/>
    <mergeCell ref="D87:K87"/>
    <mergeCell ref="D88:K88"/>
    <mergeCell ref="D51:K51"/>
    <mergeCell ref="C64:F64"/>
    <mergeCell ref="A69:K69"/>
    <mergeCell ref="A70:K70"/>
    <mergeCell ref="D74:K74"/>
    <mergeCell ref="D101:K101"/>
    <mergeCell ref="D102:K102"/>
    <mergeCell ref="D111:K111"/>
    <mergeCell ref="D112:K112"/>
    <mergeCell ref="D113:K113"/>
    <mergeCell ref="D114:K114"/>
    <mergeCell ref="D89:K89"/>
    <mergeCell ref="D90:K90"/>
    <mergeCell ref="D91:K91"/>
    <mergeCell ref="D98:K98"/>
    <mergeCell ref="D99:K99"/>
    <mergeCell ref="D100:K100"/>
    <mergeCell ref="D133:K133"/>
    <mergeCell ref="D134:K134"/>
    <mergeCell ref="D135:K135"/>
    <mergeCell ref="D136:K136"/>
    <mergeCell ref="D137:K137"/>
    <mergeCell ref="D138:K138"/>
    <mergeCell ref="D115:K115"/>
    <mergeCell ref="D122:K122"/>
    <mergeCell ref="D123:K123"/>
    <mergeCell ref="D124:K124"/>
    <mergeCell ref="D125:K125"/>
    <mergeCell ref="D126:K126"/>
    <mergeCell ref="D157:K157"/>
    <mergeCell ref="D158:K158"/>
    <mergeCell ref="D159:K159"/>
    <mergeCell ref="D160:K160"/>
    <mergeCell ref="D171:K171"/>
    <mergeCell ref="D172:K172"/>
    <mergeCell ref="D145:K145"/>
    <mergeCell ref="D146:K146"/>
    <mergeCell ref="D147:K147"/>
    <mergeCell ref="D148:K148"/>
    <mergeCell ref="D149:K149"/>
    <mergeCell ref="D156:K156"/>
    <mergeCell ref="D194:K194"/>
    <mergeCell ref="D195:K195"/>
    <mergeCell ref="D196:K196"/>
    <mergeCell ref="D197:K197"/>
    <mergeCell ref="D198:K198"/>
    <mergeCell ref="D205:K205"/>
    <mergeCell ref="D173:K173"/>
    <mergeCell ref="D174:K174"/>
    <mergeCell ref="D175:K175"/>
    <mergeCell ref="D176:K176"/>
    <mergeCell ref="C185:F185"/>
    <mergeCell ref="A190:K190"/>
    <mergeCell ref="D220:K220"/>
    <mergeCell ref="D221:K221"/>
    <mergeCell ref="D222:K222"/>
    <mergeCell ref="D231:K231"/>
    <mergeCell ref="D232:K232"/>
    <mergeCell ref="D233:K233"/>
    <mergeCell ref="D206:K206"/>
    <mergeCell ref="D207:K207"/>
    <mergeCell ref="D208:K208"/>
    <mergeCell ref="D209:K209"/>
    <mergeCell ref="D218:K218"/>
    <mergeCell ref="D219:K219"/>
    <mergeCell ref="D256:K256"/>
    <mergeCell ref="D257:K257"/>
    <mergeCell ref="D258:K258"/>
    <mergeCell ref="D267:K267"/>
    <mergeCell ref="D268:K268"/>
    <mergeCell ref="D269:K269"/>
    <mergeCell ref="D234:K234"/>
    <mergeCell ref="D235:K235"/>
    <mergeCell ref="C245:F245"/>
    <mergeCell ref="A250:K250"/>
    <mergeCell ref="D254:K254"/>
    <mergeCell ref="D255:K255"/>
    <mergeCell ref="D282:K282"/>
    <mergeCell ref="C287:F287"/>
    <mergeCell ref="A292:K292"/>
    <mergeCell ref="D296:K296"/>
    <mergeCell ref="D297:K297"/>
    <mergeCell ref="D298:K298"/>
    <mergeCell ref="D270:K270"/>
    <mergeCell ref="D271:K271"/>
    <mergeCell ref="D278:K278"/>
    <mergeCell ref="D279:K279"/>
    <mergeCell ref="D280:K280"/>
    <mergeCell ref="D281:K281"/>
    <mergeCell ref="D313:K313"/>
    <mergeCell ref="D320:K320"/>
    <mergeCell ref="D321:K321"/>
    <mergeCell ref="D322:K322"/>
    <mergeCell ref="D323:K323"/>
    <mergeCell ref="D324:K324"/>
    <mergeCell ref="D299:K299"/>
    <mergeCell ref="D300:K300"/>
    <mergeCell ref="D309:K309"/>
    <mergeCell ref="D310:K310"/>
    <mergeCell ref="D311:K311"/>
    <mergeCell ref="D312:K312"/>
    <mergeCell ref="D342:K342"/>
    <mergeCell ref="D343:K343"/>
    <mergeCell ref="D350:K350"/>
    <mergeCell ref="D351:K351"/>
    <mergeCell ref="D352:K352"/>
    <mergeCell ref="D353:K353"/>
    <mergeCell ref="C329:F329"/>
    <mergeCell ref="A334:K334"/>
    <mergeCell ref="D338:K338"/>
    <mergeCell ref="D339:K339"/>
    <mergeCell ref="D340:K340"/>
    <mergeCell ref="D341:K341"/>
    <mergeCell ref="D376:K376"/>
    <mergeCell ref="D382:K382"/>
    <mergeCell ref="D383:K383"/>
    <mergeCell ref="D384:K384"/>
    <mergeCell ref="D385:K385"/>
    <mergeCell ref="D386:K386"/>
    <mergeCell ref="D354:K354"/>
    <mergeCell ref="D355:K355"/>
    <mergeCell ref="D372:K372"/>
    <mergeCell ref="D373:K373"/>
    <mergeCell ref="D374:K374"/>
    <mergeCell ref="D375:K375"/>
    <mergeCell ref="D409:K409"/>
    <mergeCell ref="D410:K410"/>
    <mergeCell ref="D411:K411"/>
    <mergeCell ref="D412:K412"/>
    <mergeCell ref="D425:K425"/>
    <mergeCell ref="D426:K426"/>
    <mergeCell ref="D393:K393"/>
    <mergeCell ref="D394:K394"/>
    <mergeCell ref="D395:K395"/>
    <mergeCell ref="D396:K396"/>
    <mergeCell ref="D397:K397"/>
    <mergeCell ref="D408:K408"/>
    <mergeCell ref="C456:G456"/>
    <mergeCell ref="H456:I456"/>
    <mergeCell ref="D438:K438"/>
    <mergeCell ref="D439:K439"/>
    <mergeCell ref="C444:F444"/>
    <mergeCell ref="D427:K427"/>
    <mergeCell ref="D428:K428"/>
    <mergeCell ref="D429:K429"/>
    <mergeCell ref="D435:K435"/>
    <mergeCell ref="D436:K436"/>
    <mergeCell ref="D437:K437"/>
    <mergeCell ref="A467:B467"/>
    <mergeCell ref="C468:H468"/>
    <mergeCell ref="A6:J6"/>
    <mergeCell ref="C9:F9"/>
    <mergeCell ref="A10:B10"/>
    <mergeCell ref="C10:K10"/>
    <mergeCell ref="A12:K12"/>
    <mergeCell ref="C460:G460"/>
    <mergeCell ref="H460:I460"/>
    <mergeCell ref="C461:G461"/>
    <mergeCell ref="H461:I461"/>
    <mergeCell ref="A464:B464"/>
    <mergeCell ref="C465:H465"/>
    <mergeCell ref="C457:G457"/>
    <mergeCell ref="H457:I457"/>
    <mergeCell ref="C458:G458"/>
    <mergeCell ref="H458:I458"/>
    <mergeCell ref="C459:G459"/>
    <mergeCell ref="H459:I459"/>
    <mergeCell ref="C450:F450"/>
    <mergeCell ref="C454:G454"/>
    <mergeCell ref="H454:I454"/>
    <mergeCell ref="C455:G455"/>
    <mergeCell ref="H455:I455"/>
  </mergeCells>
  <pageMargins left="0.4" right="0.2" top="0.2" bottom="0.4" header="0.2" footer="0.2"/>
  <pageSetup paperSize="9" scale="87" fitToHeight="0" orientation="landscape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5"/>
  <sheetViews>
    <sheetView topLeftCell="A58" zoomScaleNormal="100" workbookViewId="0">
      <selection activeCell="A36" sqref="A36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1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B2" s="9"/>
      <c r="C2" s="32" t="s">
        <v>635</v>
      </c>
      <c r="D2" s="33"/>
      <c r="E2" s="34"/>
    </row>
    <row r="3" spans="1:30" ht="15" x14ac:dyDescent="0.25">
      <c r="B3" s="13"/>
      <c r="C3" s="36" t="s">
        <v>636</v>
      </c>
      <c r="D3" s="33"/>
      <c r="E3" s="34"/>
    </row>
    <row r="4" spans="1:30" ht="14.25" x14ac:dyDescent="0.2">
      <c r="B4" s="9"/>
      <c r="C4" s="36" t="s">
        <v>637</v>
      </c>
      <c r="D4" s="33"/>
      <c r="E4" s="34"/>
    </row>
    <row r="5" spans="1:30" ht="15" x14ac:dyDescent="0.25">
      <c r="B5" s="13"/>
      <c r="C5" s="36" t="s">
        <v>639</v>
      </c>
      <c r="D5" s="33"/>
      <c r="E5" s="34"/>
    </row>
    <row r="6" spans="1:30" ht="14.25" x14ac:dyDescent="0.2">
      <c r="B6" s="9"/>
      <c r="C6" s="38" t="s">
        <v>641</v>
      </c>
      <c r="D6" s="33"/>
      <c r="E6" s="34"/>
    </row>
    <row r="7" spans="1:30" ht="14.25" x14ac:dyDescent="0.2">
      <c r="A7" s="9"/>
      <c r="B7" s="9"/>
      <c r="C7" s="9"/>
      <c r="D7" s="9"/>
      <c r="E7" s="9"/>
    </row>
    <row r="8" spans="1:30" ht="15.75" x14ac:dyDescent="0.25">
      <c r="A8" s="84" t="s">
        <v>647</v>
      </c>
      <c r="B8" s="84"/>
      <c r="C8" s="84"/>
      <c r="D8" s="84"/>
      <c r="E8" s="9"/>
    </row>
    <row r="9" spans="1:30" ht="30" x14ac:dyDescent="0.25">
      <c r="A9" s="85" t="str">
        <f>'Смета 11 граф c НР и СП'!C10</f>
        <v>Благоустройство дворовой территории в районе дома №4 по ул. Октябрьской революции в г. Смоленскев рамках реализации муниципальной программы "Формирование современной городской среды в городе Смоленске"</v>
      </c>
      <c r="B9" s="85"/>
      <c r="C9" s="85"/>
      <c r="D9" s="85"/>
      <c r="E9" s="9"/>
      <c r="AD9" s="19" t="str">
        <f>CONCATENATE("На капитальный ремонт ", Source!F12, " ", Source!G12)</f>
        <v>На капитальный ремонт Новый объект_(Копия)_(Копия)_(Копия)_(Копия)_(Копия) ул. Октябрьской Революции 4</v>
      </c>
    </row>
    <row r="10" spans="1:30" ht="14.25" x14ac:dyDescent="0.2">
      <c r="A10" s="9"/>
      <c r="B10" s="9"/>
      <c r="C10" s="9"/>
      <c r="D10" s="9"/>
      <c r="E10" s="9"/>
    </row>
    <row r="11" spans="1:30" ht="15" x14ac:dyDescent="0.2">
      <c r="A11" s="9"/>
      <c r="B11" s="17" t="s">
        <v>626</v>
      </c>
      <c r="C11" s="9"/>
      <c r="D11" s="9"/>
      <c r="E11" s="9"/>
    </row>
    <row r="12" spans="1:30" ht="15" x14ac:dyDescent="0.2">
      <c r="A12" s="9"/>
      <c r="B12" s="17" t="s">
        <v>627</v>
      </c>
      <c r="C12" s="9"/>
      <c r="D12" s="9"/>
      <c r="E12" s="9"/>
    </row>
    <row r="13" spans="1:30" ht="15" x14ac:dyDescent="0.2">
      <c r="A13" s="9"/>
      <c r="B13" s="17" t="s">
        <v>628</v>
      </c>
      <c r="C13" s="9"/>
      <c r="D13" s="9"/>
      <c r="E13" s="9"/>
    </row>
    <row r="14" spans="1:30" ht="28.5" x14ac:dyDescent="0.2">
      <c r="A14" s="12" t="s">
        <v>596</v>
      </c>
      <c r="B14" s="12" t="s">
        <v>629</v>
      </c>
      <c r="C14" s="12" t="s">
        <v>630</v>
      </c>
      <c r="D14" s="12" t="s">
        <v>631</v>
      </c>
      <c r="E14" s="18" t="s">
        <v>632</v>
      </c>
    </row>
    <row r="15" spans="1:30" ht="14.25" x14ac:dyDescent="0.2">
      <c r="A15" s="20">
        <v>1</v>
      </c>
      <c r="B15" s="20">
        <v>2</v>
      </c>
      <c r="C15" s="20">
        <v>3</v>
      </c>
      <c r="D15" s="20">
        <v>4</v>
      </c>
      <c r="E15" s="21">
        <v>5</v>
      </c>
    </row>
    <row r="16" spans="1:30" ht="16.5" x14ac:dyDescent="0.25">
      <c r="A16" s="86" t="str">
        <f>CONCATENATE("Раздел: ", Source!G24)</f>
        <v>Раздел: 1.  ул. Октябрьской революции 4</v>
      </c>
      <c r="B16" s="86"/>
      <c r="C16" s="86"/>
      <c r="D16" s="86"/>
      <c r="E16" s="86"/>
    </row>
    <row r="17" spans="1:5" ht="16.5" x14ac:dyDescent="0.25">
      <c r="A17" s="86" t="str">
        <f>CONCATENATE("Подраздел: ", Source!G28)</f>
        <v>Подраздел: Расчистка территории</v>
      </c>
      <c r="B17" s="86"/>
      <c r="C17" s="86"/>
      <c r="D17" s="86"/>
      <c r="E17" s="86"/>
    </row>
    <row r="18" spans="1:5" ht="28.5" x14ac:dyDescent="0.2">
      <c r="A18" s="26" t="str">
        <f>Source!E32</f>
        <v>1</v>
      </c>
      <c r="B18" s="27" t="str">
        <f>Source!G32</f>
        <v>Разборка покрытий и оснований цементно-бетонных (демонтаж скамеек, урн)</v>
      </c>
      <c r="C18" s="28" t="str">
        <f>Source!DW32</f>
        <v>100 м3 конструкций</v>
      </c>
      <c r="D18" s="29">
        <f>Source!I32</f>
        <v>1.5E-3</v>
      </c>
      <c r="E18" s="27"/>
    </row>
    <row r="19" spans="1:5" ht="57" x14ac:dyDescent="0.2">
      <c r="A19" s="26" t="str">
        <f>Source!E33</f>
        <v>2</v>
      </c>
      <c r="B19" s="27" t="str">
        <f>Source!G33</f>
        <v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v>
      </c>
      <c r="C19" s="28" t="str">
        <f>Source!DW33</f>
        <v>100 М2 АСФАЛЬТОБЕТОННОГО ПОКРЫТИЯ</v>
      </c>
      <c r="D19" s="29">
        <f>Source!I33</f>
        <v>9.2039000000000009</v>
      </c>
      <c r="E19" s="27"/>
    </row>
    <row r="20" spans="1:5" ht="14.25" x14ac:dyDescent="0.2">
      <c r="A20" s="26" t="str">
        <f>Source!E34</f>
        <v>3</v>
      </c>
      <c r="B20" s="27" t="str">
        <f>Source!G34</f>
        <v>Разборка бортовых камней: на бетонном основании</v>
      </c>
      <c r="C20" s="28" t="str">
        <f>Source!DW34</f>
        <v>100 м</v>
      </c>
      <c r="D20" s="29">
        <f>Source!I34</f>
        <v>2.8119999999999998</v>
      </c>
      <c r="E20" s="27"/>
    </row>
    <row r="21" spans="1:5" ht="28.5" x14ac:dyDescent="0.2">
      <c r="A21" s="26" t="str">
        <f>Source!E35</f>
        <v>4</v>
      </c>
      <c r="B21" s="27" t="str">
        <f>Source!G35</f>
        <v>Разработка грунта с погрузкой на автомобили-самосвалы экскаваторами с ковшом вместимостью: 1 (1-1,2) м3, группа грунтов 1</v>
      </c>
      <c r="C21" s="28" t="str">
        <f>Source!DW35</f>
        <v>1000 м3 грунта</v>
      </c>
      <c r="D21" s="29">
        <f>Source!I35</f>
        <v>0.11840000000000001</v>
      </c>
      <c r="E21" s="27"/>
    </row>
    <row r="22" spans="1:5" ht="28.5" x14ac:dyDescent="0.2">
      <c r="A22" s="26" t="str">
        <f>Source!E36</f>
        <v>5</v>
      </c>
      <c r="B22" s="27" t="str">
        <f>Source!G36</f>
        <v>Погрузочные работы при автомобильных перевозках: мусора строительного с погрузкой экскаваторами емкостью ковша до 0,5 м3</v>
      </c>
      <c r="C22" s="28" t="str">
        <f>Source!DW36</f>
        <v>1 Т ГРУЗА</v>
      </c>
      <c r="D22" s="29">
        <f>Source!I36</f>
        <v>28.48</v>
      </c>
      <c r="E22" s="27"/>
    </row>
    <row r="23" spans="1:5" ht="28.5" x14ac:dyDescent="0.2">
      <c r="A23" s="26" t="str">
        <f>Source!E37</f>
        <v>6</v>
      </c>
      <c r="B23" s="27" t="str">
        <f>Source!G37</f>
        <v>Перевозка грузов автомобилями-самосвалами грузоподъемностью 10 т, работающих вне карьера, на расстояние: до 5 км I класс груза</v>
      </c>
      <c r="C23" s="28" t="str">
        <f>Source!DW37</f>
        <v>1 Т ГРУЗА</v>
      </c>
      <c r="D23" s="29">
        <f>Source!I37</f>
        <v>184.8895</v>
      </c>
      <c r="E23" s="27"/>
    </row>
    <row r="24" spans="1:5" ht="28.5" x14ac:dyDescent="0.2">
      <c r="A24" s="26" t="str">
        <f>Source!E38</f>
        <v>7</v>
      </c>
      <c r="B24" s="27" t="str">
        <f>Source!G38</f>
        <v>Перевозка грузов автомобилями-самосвалами грузоподъемностью 10 т, работающих вне карьера, на расстояние: до 30 км I класс груза</v>
      </c>
      <c r="C24" s="28" t="str">
        <f>Source!DW38</f>
        <v>1 Т ГРУЗА</v>
      </c>
      <c r="D24" s="29">
        <f>Source!I38</f>
        <v>28.48</v>
      </c>
      <c r="E24" s="27"/>
    </row>
    <row r="25" spans="1:5" ht="16.5" x14ac:dyDescent="0.25">
      <c r="A25" s="86" t="str">
        <f>CONCATENATE("Подраздел: ", Source!G70)</f>
        <v>Подраздел: Дворовой проезд</v>
      </c>
      <c r="B25" s="86"/>
      <c r="C25" s="86"/>
      <c r="D25" s="86"/>
      <c r="E25" s="86"/>
    </row>
    <row r="26" spans="1:5" ht="16.5" x14ac:dyDescent="0.25">
      <c r="A26" s="86" t="str">
        <f>CONCATENATE("Подраздел: ", Source!G104)</f>
        <v>Подраздел: Асфальт S=1092,55м2</v>
      </c>
      <c r="B26" s="86"/>
      <c r="C26" s="86"/>
      <c r="D26" s="86"/>
      <c r="E26" s="86"/>
    </row>
    <row r="27" spans="1:5" ht="57" x14ac:dyDescent="0.2">
      <c r="A27" s="26" t="str">
        <f>Source!E108</f>
        <v>8</v>
      </c>
      <c r="B27" s="27" t="str">
        <f>Source!G108</f>
        <v>Устройство подстилающих и выравнивающих слоев оснований: из песка</v>
      </c>
      <c r="C27" s="28" t="str">
        <f>Source!DW108</f>
        <v>100 м3 материала основания (в плотном теле)</v>
      </c>
      <c r="D27" s="29">
        <f>Source!I108</f>
        <v>0.17219999999999999</v>
      </c>
      <c r="E27" s="27"/>
    </row>
    <row r="28" spans="1:5" ht="14.25" x14ac:dyDescent="0.2">
      <c r="A28" s="26"/>
      <c r="B28" s="27" t="str">
        <f>Source!G109</f>
        <v>Песок природный для строительных работ средний</v>
      </c>
      <c r="C28" s="28" t="str">
        <f>Source!DW109</f>
        <v>м3</v>
      </c>
      <c r="D28" s="29">
        <f>Source!I109</f>
        <v>18.942</v>
      </c>
      <c r="E28" s="27"/>
    </row>
    <row r="29" spans="1:5" ht="57" x14ac:dyDescent="0.2">
      <c r="A29" s="26" t="str">
        <f>Source!E110</f>
        <v>9</v>
      </c>
      <c r="B29" s="27" t="str">
        <f>Source!G110</f>
        <v>Устройство подстилающих и выравнивающих слоев оснований: из асфальтогранулята</v>
      </c>
      <c r="C29" s="28" t="str">
        <f>Source!DW110</f>
        <v>100 м3 материала основания (в плотном теле)</v>
      </c>
      <c r="D29" s="29">
        <f>Source!I110</f>
        <v>0.55220000000000002</v>
      </c>
      <c r="E29" s="27"/>
    </row>
    <row r="30" spans="1:5" ht="57" x14ac:dyDescent="0.2">
      <c r="A30" s="26" t="str">
        <f>Source!E111</f>
        <v>10</v>
      </c>
      <c r="B30" s="27" t="str">
        <f>Source!G111</f>
        <v>Устройство подстилающих и выравнивающих слоев оснований: из щебня</v>
      </c>
      <c r="C30" s="28" t="str">
        <f>Source!DW111</f>
        <v>100 м3 материала основания (в плотном теле)</v>
      </c>
      <c r="D30" s="29">
        <f>Source!I111</f>
        <v>0.1033</v>
      </c>
      <c r="E30" s="27"/>
    </row>
    <row r="31" spans="1:5" ht="28.5" x14ac:dyDescent="0.2">
      <c r="A31" s="26"/>
      <c r="B31" s="27" t="str">
        <f>Source!G112</f>
        <v>Щебень из природного камня для строительных работ марка 600, фракция 5 (3)-20 мм</v>
      </c>
      <c r="C31" s="28" t="str">
        <f>Source!DW112</f>
        <v>м3</v>
      </c>
      <c r="D31" s="29">
        <f>Source!I112</f>
        <v>13.0158</v>
      </c>
      <c r="E31" s="27"/>
    </row>
    <row r="32" spans="1:5" ht="14.25" x14ac:dyDescent="0.2">
      <c r="A32" s="26" t="str">
        <f>Source!E113</f>
        <v>11</v>
      </c>
      <c r="B32" s="27" t="str">
        <f>Source!G113</f>
        <v>Розлив вяжущих материалов</v>
      </c>
      <c r="C32" s="28" t="str">
        <f>Source!DW113</f>
        <v>1 Т</v>
      </c>
      <c r="D32" s="29">
        <f>Source!I113</f>
        <v>0.65559999999999996</v>
      </c>
      <c r="E32" s="27"/>
    </row>
    <row r="33" spans="1:5" ht="28.5" customHeight="1" x14ac:dyDescent="0.2">
      <c r="A33" s="26" t="str">
        <f>Source!E114</f>
        <v>12</v>
      </c>
      <c r="B33" s="27" t="s">
        <v>648</v>
      </c>
      <c r="C33" s="28" t="str">
        <f>Source!DW114</f>
        <v>1000 м2 покрытия</v>
      </c>
      <c r="D33" s="29">
        <f>Source!I114</f>
        <v>1.0926</v>
      </c>
      <c r="E33" s="27"/>
    </row>
    <row r="34" spans="1:5" ht="14.25" x14ac:dyDescent="0.2">
      <c r="A34" s="26" t="str">
        <f>Source!E116</f>
        <v>14</v>
      </c>
      <c r="B34" s="27" t="str">
        <f>Source!G116</f>
        <v>Розлив вяжущих материалов</v>
      </c>
      <c r="C34" s="28" t="str">
        <f>Source!DW116</f>
        <v>1 Т</v>
      </c>
      <c r="D34" s="29">
        <f>Source!I116</f>
        <v>0.32779999999999998</v>
      </c>
      <c r="E34" s="27"/>
    </row>
    <row r="35" spans="1:5" ht="42.75" x14ac:dyDescent="0.2">
      <c r="A35" s="26" t="str">
        <f>Source!E117</f>
        <v>15</v>
      </c>
      <c r="B35" s="27" t="s">
        <v>649</v>
      </c>
      <c r="C35" s="28" t="str">
        <f>Source!DW117</f>
        <v>1000 м2 покрытия</v>
      </c>
      <c r="D35" s="29">
        <f>Source!I117</f>
        <v>1.0926</v>
      </c>
      <c r="E35" s="27"/>
    </row>
    <row r="36" spans="1:5" ht="42.75" x14ac:dyDescent="0.2">
      <c r="A36" s="26"/>
      <c r="B36" s="27" t="str">
        <f>Source!G119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C36" s="28" t="str">
        <f>Source!DW119</f>
        <v>т</v>
      </c>
      <c r="D36" s="29">
        <f>Source!I119+26.44092</f>
        <v>131.98607999999999</v>
      </c>
      <c r="E36" s="27"/>
    </row>
    <row r="37" spans="1:5" ht="16.5" x14ac:dyDescent="0.25">
      <c r="A37" s="86" t="str">
        <f>CONCATENATE("Подраздел: ", Source!G154)</f>
        <v>Подраздел: Установка бортовых камней БК 100.30.15 -331,2м</v>
      </c>
      <c r="B37" s="86"/>
      <c r="C37" s="86"/>
      <c r="D37" s="86"/>
      <c r="E37" s="86"/>
    </row>
    <row r="38" spans="1:5" ht="28.5" x14ac:dyDescent="0.2">
      <c r="A38" s="26" t="str">
        <f>Source!E158</f>
        <v>17</v>
      </c>
      <c r="B38" s="27" t="str">
        <f>Source!G158</f>
        <v>Разработка грунта вручную в траншеях глубиной до 2 м без креплений с откосами, группа грунтов: 2</v>
      </c>
      <c r="C38" s="28" t="str">
        <f>Source!DW158</f>
        <v>100 м3 грунта</v>
      </c>
      <c r="D38" s="29">
        <f>Source!I158</f>
        <v>0.29809999999999998</v>
      </c>
      <c r="E38" s="27"/>
    </row>
    <row r="39" spans="1:5" ht="57" x14ac:dyDescent="0.2">
      <c r="A39" s="26" t="str">
        <f>Source!E159</f>
        <v>18</v>
      </c>
      <c r="B39" s="27" t="str">
        <f>Source!G159</f>
        <v>Устройство подстилающих и выравнивающих слоев оснований: из щебня</v>
      </c>
      <c r="C39" s="28" t="str">
        <f>Source!DW159</f>
        <v>100 м3 материала основания (в плотном теле)</v>
      </c>
      <c r="D39" s="29">
        <f>Source!I159</f>
        <v>5.96E-2</v>
      </c>
      <c r="E39" s="27"/>
    </row>
    <row r="40" spans="1:5" ht="28.5" x14ac:dyDescent="0.2">
      <c r="A40" s="26"/>
      <c r="B40" s="27" t="str">
        <f>Source!G160</f>
        <v>Щебень из природного камня для строительных работ марка 600, фракция 5 (3)-20 мм</v>
      </c>
      <c r="C40" s="28" t="str">
        <f>Source!DW160</f>
        <v>м3</v>
      </c>
      <c r="D40" s="29">
        <f>Source!I160</f>
        <v>7.5095999999999998</v>
      </c>
      <c r="E40" s="27"/>
    </row>
    <row r="41" spans="1:5" ht="42.75" x14ac:dyDescent="0.2">
      <c r="A41" s="26" t="str">
        <f>Source!E161</f>
        <v>19</v>
      </c>
      <c r="B41" s="27" t="str">
        <f>Source!G161</f>
        <v>Установка бортовых камней бетонных: при других видах покрытий</v>
      </c>
      <c r="C41" s="28" t="str">
        <f>Source!DW161</f>
        <v>100 м бортового камня</v>
      </c>
      <c r="D41" s="29">
        <f>Source!I161</f>
        <v>3.3119999999999998</v>
      </c>
      <c r="E41" s="27"/>
    </row>
    <row r="42" spans="1:5" ht="28.5" x14ac:dyDescent="0.2">
      <c r="A42" s="26"/>
      <c r="B42" s="27" t="str">
        <f>Source!G162</f>
        <v>Камни бортовые БР 100.30.15 /бетон В30 (М400), объем 0,043 м3/ (ГОСТ 6665-91)</v>
      </c>
      <c r="C42" s="28" t="str">
        <f>Source!DW162</f>
        <v>шт.</v>
      </c>
      <c r="D42" s="29">
        <f>Source!I162</f>
        <v>331.2</v>
      </c>
      <c r="E42" s="27"/>
    </row>
    <row r="43" spans="1:5" ht="14.25" x14ac:dyDescent="0.2">
      <c r="A43" s="26" t="str">
        <f>Source!E163</f>
        <v>20</v>
      </c>
      <c r="B43" s="27" t="str">
        <f>Source!G163</f>
        <v>Засыпка вручную траншей, пазух котлованов и ям, группа грунтов: 1</v>
      </c>
      <c r="C43" s="28" t="str">
        <f>Source!DW163</f>
        <v>100 м3 грунта</v>
      </c>
      <c r="D43" s="29">
        <f>Source!I163</f>
        <v>5.96E-2</v>
      </c>
      <c r="E43" s="27"/>
    </row>
    <row r="44" spans="1:5" ht="28.5" x14ac:dyDescent="0.2">
      <c r="A44" s="26" t="str">
        <f>Source!E164</f>
        <v>21</v>
      </c>
      <c r="B44" s="27" t="str">
        <f>Source!G164</f>
        <v>Погрузочные работы при автомобильных перевозках: грунта растительного слоя (земля, перегной)</v>
      </c>
      <c r="C44" s="28" t="str">
        <f>Source!DW164</f>
        <v>1 Т ГРУЗА</v>
      </c>
      <c r="D44" s="29">
        <f>Source!I164</f>
        <v>35.774999999999999</v>
      </c>
      <c r="E44" s="27"/>
    </row>
    <row r="45" spans="1:5" ht="28.5" x14ac:dyDescent="0.2">
      <c r="A45" s="26" t="str">
        <f>Source!E165</f>
        <v>22</v>
      </c>
      <c r="B45" s="27" t="str">
        <f>Source!G165</f>
        <v>Перевозка грузов автомобилями-самосвалами грузоподъемностью 10 т, работающих вне карьера, на расстояние: до 5 км I класс груза</v>
      </c>
      <c r="C45" s="28" t="str">
        <f>Source!DW165</f>
        <v>1 Т ГРУЗА</v>
      </c>
      <c r="D45" s="29">
        <f>Source!I165</f>
        <v>35.774999999999999</v>
      </c>
      <c r="E45" s="27"/>
    </row>
    <row r="46" spans="1:5" ht="16.5" x14ac:dyDescent="0.25">
      <c r="A46" s="86" t="str">
        <f>CONCATENATE("Подраздел: ", Source!G197)</f>
        <v>Подраздел: Установка урн</v>
      </c>
      <c r="B46" s="86"/>
      <c r="C46" s="86"/>
      <c r="D46" s="86"/>
      <c r="E46" s="86"/>
    </row>
    <row r="47" spans="1:5" ht="28.5" x14ac:dyDescent="0.2">
      <c r="A47" s="26" t="str">
        <f>Source!E201</f>
        <v>23</v>
      </c>
      <c r="B47" s="27" t="str">
        <f>Source!G201</f>
        <v>Копание ям вручную без креплений для стоек и столбов: без откосов глубиной до 0,7 м, группа грунтов 2</v>
      </c>
      <c r="C47" s="28" t="str">
        <f>Source!DW201</f>
        <v>100 м3 грунта</v>
      </c>
      <c r="D47" s="29">
        <f>Source!I201</f>
        <v>1.1000000000000001E-3</v>
      </c>
      <c r="E47" s="27"/>
    </row>
    <row r="48" spans="1:5" ht="85.5" x14ac:dyDescent="0.2">
      <c r="A48" s="26" t="str">
        <f>Source!E202</f>
        <v>24</v>
      </c>
      <c r="B48" s="27" t="str">
        <f>Source!G202</f>
        <v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v>
      </c>
      <c r="C48" s="28" t="str">
        <f>Source!DW202</f>
        <v>ШТ</v>
      </c>
      <c r="D48" s="29">
        <f>Source!I202</f>
        <v>2</v>
      </c>
      <c r="E48" s="27"/>
    </row>
    <row r="49" spans="1:5" ht="57" x14ac:dyDescent="0.2">
      <c r="A49" s="26" t="str">
        <f>Source!E203</f>
        <v>25</v>
      </c>
      <c r="B49" s="27" t="str">
        <f>Source!G203</f>
        <v>Устройство бетонной подготовки</v>
      </c>
      <c r="C49" s="28" t="str">
        <f>Source!DW203</f>
        <v>100 м3 бетона, бутобетона и железобетона в деле</v>
      </c>
      <c r="D49" s="29">
        <f>Source!I203</f>
        <v>5.9999999999999995E-4</v>
      </c>
      <c r="E49" s="27"/>
    </row>
    <row r="50" spans="1:5" ht="14.25" x14ac:dyDescent="0.2">
      <c r="A50" s="26" t="str">
        <f>Source!E204</f>
        <v>26</v>
      </c>
      <c r="B50" s="27" t="str">
        <f>Source!G204</f>
        <v>Засыпка вручную траншей, пазух котлованов и ям, группа грунтов: 1</v>
      </c>
      <c r="C50" s="28" t="str">
        <f>Source!DW204</f>
        <v>100 м3 грунта</v>
      </c>
      <c r="D50" s="29">
        <f>Source!I204</f>
        <v>5.9999999999999995E-4</v>
      </c>
      <c r="E50" s="27"/>
    </row>
    <row r="51" spans="1:5" ht="16.5" x14ac:dyDescent="0.25">
      <c r="A51" s="86" t="str">
        <f>CONCATENATE("Подраздел: ", Source!G236)</f>
        <v>Подраздел: Установка скамеек</v>
      </c>
      <c r="B51" s="86"/>
      <c r="C51" s="86"/>
      <c r="D51" s="86"/>
      <c r="E51" s="86"/>
    </row>
    <row r="52" spans="1:5" ht="28.5" x14ac:dyDescent="0.2">
      <c r="A52" s="26" t="str">
        <f>Source!E240</f>
        <v>27</v>
      </c>
      <c r="B52" s="27" t="str">
        <f>Source!G240</f>
        <v>Копание ям вручную без креплений для стоек и столбов: без откосов глубиной до 0,7 м, группа грунтов 2</v>
      </c>
      <c r="C52" s="28" t="str">
        <f>Source!DW240</f>
        <v>100 м3 грунта</v>
      </c>
      <c r="D52" s="29">
        <f>Source!I240</f>
        <v>1.1999999999999999E-3</v>
      </c>
      <c r="E52" s="27"/>
    </row>
    <row r="53" spans="1:5" ht="99.75" x14ac:dyDescent="0.2">
      <c r="A53" s="26" t="str">
        <f>Source!E241</f>
        <v>28</v>
      </c>
      <c r="B53" s="27" t="str">
        <f>Source!G241</f>
        <v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v>
      </c>
      <c r="C53" s="28" t="str">
        <f>Source!DW241</f>
        <v>ШТ</v>
      </c>
      <c r="D53" s="29">
        <f>Source!I241</f>
        <v>1</v>
      </c>
      <c r="E53" s="27"/>
    </row>
    <row r="54" spans="1:5" ht="57" x14ac:dyDescent="0.2">
      <c r="A54" s="26" t="str">
        <f>Source!E242</f>
        <v>29</v>
      </c>
      <c r="B54" s="27" t="str">
        <f>Source!G242</f>
        <v>Устройство бетонной подготовки</v>
      </c>
      <c r="C54" s="28" t="str">
        <f>Source!DW242</f>
        <v>100 м3 бетона, бутобетона и железобетона в деле</v>
      </c>
      <c r="D54" s="29">
        <f>Source!I242</f>
        <v>5.9999999999999995E-4</v>
      </c>
      <c r="E54" s="27"/>
    </row>
    <row r="55" spans="1:5" ht="14.25" x14ac:dyDescent="0.2">
      <c r="A55" s="26" t="str">
        <f>Source!E243</f>
        <v>30</v>
      </c>
      <c r="B55" s="27" t="str">
        <f>Source!G243</f>
        <v>Засыпка вручную траншей, пазух котлованов и ям, группа грунтов: 1</v>
      </c>
      <c r="C55" s="28" t="str">
        <f>Source!DW243</f>
        <v>100 м3 грунта</v>
      </c>
      <c r="D55" s="29">
        <f>Source!I243</f>
        <v>5.9999999999999995E-4</v>
      </c>
      <c r="E55" s="27"/>
    </row>
    <row r="56" spans="1:5" ht="16.5" x14ac:dyDescent="0.25">
      <c r="A56" s="86" t="str">
        <f>CONCATENATE("Подраздел: ", Source!G275)</f>
        <v>Подраздел: Площадка для мусорных контейнеров</v>
      </c>
      <c r="B56" s="86"/>
      <c r="C56" s="86"/>
      <c r="D56" s="86"/>
      <c r="E56" s="86"/>
    </row>
    <row r="57" spans="1:5" ht="14.25" x14ac:dyDescent="0.2">
      <c r="A57" s="26" t="str">
        <f>Source!E279</f>
        <v>31</v>
      </c>
      <c r="B57" s="27" t="str">
        <f>Source!G279</f>
        <v>Разборка ограждений</v>
      </c>
      <c r="C57" s="28" t="str">
        <f>Source!DW279</f>
        <v>10 панелей</v>
      </c>
      <c r="D57" s="29">
        <f>Source!I279</f>
        <v>0.7</v>
      </c>
      <c r="E57" s="27"/>
    </row>
    <row r="58" spans="1:5" ht="14.25" x14ac:dyDescent="0.2">
      <c r="A58" s="26" t="str">
        <f>Source!E280</f>
        <v>32</v>
      </c>
      <c r="B58" s="27" t="str">
        <f>Source!G280</f>
        <v>Разборка столбов</v>
      </c>
      <c r="C58" s="28" t="str">
        <f>Source!DW280</f>
        <v>100 столбов</v>
      </c>
      <c r="D58" s="29">
        <f>Source!I280</f>
        <v>7.0000000000000007E-2</v>
      </c>
      <c r="E58" s="27"/>
    </row>
    <row r="59" spans="1:5" ht="28.5" x14ac:dyDescent="0.2">
      <c r="A59" s="26" t="str">
        <f>Source!E281</f>
        <v>33</v>
      </c>
      <c r="B59" s="27" t="str">
        <f>Source!G281</f>
        <v>Разборка покрытий и оснований: асфальтобетонных с помощью молотков отбойных</v>
      </c>
      <c r="C59" s="28" t="str">
        <f>Source!DW281</f>
        <v>100 м3 конструкций</v>
      </c>
      <c r="D59" s="29">
        <f>Source!I281</f>
        <v>0.1</v>
      </c>
      <c r="E59" s="27"/>
    </row>
    <row r="60" spans="1:5" ht="28.5" x14ac:dyDescent="0.2">
      <c r="A60" s="26" t="str">
        <f>Source!E282</f>
        <v>34</v>
      </c>
      <c r="B60" s="27" t="str">
        <f>Source!G282</f>
        <v>Погрузочные работы при автомобильных перевозках: мусора строительного с погрузкой экскаваторами емкостью ковша до 0,5 м3</v>
      </c>
      <c r="C60" s="28" t="str">
        <f>Source!DW282</f>
        <v>1 Т ГРУЗА</v>
      </c>
      <c r="D60" s="29">
        <f>Source!I282</f>
        <v>22</v>
      </c>
      <c r="E60" s="27"/>
    </row>
    <row r="61" spans="1:5" ht="28.5" x14ac:dyDescent="0.2">
      <c r="A61" s="26" t="str">
        <f>Source!E283</f>
        <v>35</v>
      </c>
      <c r="B61" s="27" t="str">
        <f>Source!G283</f>
        <v>Перевозка грузов автомобилями-самосвалами грузоподъемностью 10 т, работающих вне карьера, на расстояние: до 5 км I класс груза</v>
      </c>
      <c r="C61" s="28" t="str">
        <f>Source!DW283</f>
        <v>1 Т ГРУЗА</v>
      </c>
      <c r="D61" s="29">
        <f>Source!I283</f>
        <v>22</v>
      </c>
      <c r="E61" s="27"/>
    </row>
    <row r="62" spans="1:5" ht="57" x14ac:dyDescent="0.2">
      <c r="A62" s="26" t="str">
        <f>Source!E284</f>
        <v>36</v>
      </c>
      <c r="B62" s="27" t="str">
        <f>Source!G284</f>
        <v>Устройство фундаментных плит бетонных плоских</v>
      </c>
      <c r="C62" s="28" t="str">
        <f>Source!DW284</f>
        <v>100 м3 бетона, бутобетона и железобетона в деле</v>
      </c>
      <c r="D62" s="29">
        <f>Source!I284</f>
        <v>2.7699999999999999E-2</v>
      </c>
      <c r="E62" s="27"/>
    </row>
    <row r="63" spans="1:5" ht="14.25" x14ac:dyDescent="0.2">
      <c r="A63" s="26" t="str">
        <f>Source!E285</f>
        <v>37</v>
      </c>
      <c r="B63" s="27" t="str">
        <f>Source!G285</f>
        <v>Армирование подстилающих слоев и набетонок</v>
      </c>
      <c r="C63" s="28" t="str">
        <f>Source!DW285</f>
        <v>1 Т</v>
      </c>
      <c r="D63" s="29">
        <f>Source!I285</f>
        <v>5.5E-2</v>
      </c>
      <c r="E63" s="27"/>
    </row>
    <row r="64" spans="1:5" ht="28.5" x14ac:dyDescent="0.2">
      <c r="A64" s="26" t="str">
        <f>Source!E286</f>
        <v>38</v>
      </c>
      <c r="B64" s="27" t="str">
        <f>Source!G286</f>
        <v>Установка металлических столбов высотой до 4 м: на подготовленный бетонный фундамент</v>
      </c>
      <c r="C64" s="28" t="str">
        <f>Source!DW286</f>
        <v>100 столбов</v>
      </c>
      <c r="D64" s="29">
        <f>Source!I286</f>
        <v>0.16</v>
      </c>
      <c r="E64" s="27"/>
    </row>
    <row r="65" spans="1:5" ht="14.25" x14ac:dyDescent="0.2">
      <c r="A65" s="26"/>
      <c r="B65" s="27" t="str">
        <f>Source!G287</f>
        <v>Болты анкерные</v>
      </c>
      <c r="C65" s="28" t="str">
        <f>Source!DW287</f>
        <v>т</v>
      </c>
      <c r="D65" s="29">
        <f>Source!I287</f>
        <v>8.4799999999999997E-3</v>
      </c>
      <c r="E65" s="27"/>
    </row>
    <row r="66" spans="1:5" ht="28.5" x14ac:dyDescent="0.2">
      <c r="A66" s="26"/>
      <c r="B66" s="27" t="str">
        <f>Source!G288</f>
        <v>Трубы стальные квадратные (ГОСТ 8639-82) размером 40х40 мм, толщина стенки 3 мм</v>
      </c>
      <c r="C66" s="28" t="str">
        <f>Source!DW288</f>
        <v>м</v>
      </c>
      <c r="D66" s="29">
        <f>Source!I288</f>
        <v>34.28</v>
      </c>
      <c r="E66" s="27"/>
    </row>
    <row r="67" spans="1:5" ht="28.5" x14ac:dyDescent="0.2">
      <c r="A67" s="26" t="str">
        <f>Source!E289</f>
        <v>39</v>
      </c>
      <c r="B67" s="27" t="str">
        <f>Source!G289</f>
        <v>Устройство заграждений из готовых металлических решетчатых панелей: высотой до 2 м</v>
      </c>
      <c r="C67" s="28" t="str">
        <f>Source!DW289</f>
        <v>10 панелей</v>
      </c>
      <c r="D67" s="29">
        <f>Source!I289</f>
        <v>2.6</v>
      </c>
      <c r="E67" s="27"/>
    </row>
    <row r="68" spans="1:5" ht="28.5" x14ac:dyDescent="0.2">
      <c r="A68" s="26"/>
      <c r="B68" s="27" t="str">
        <f>Source!G290</f>
        <v>Трубы стальные прямоугольные (ГОСТ 8645-86) размером 35х20 мм, толщина стенки 3 мм</v>
      </c>
      <c r="C68" s="28" t="str">
        <f>Source!DW290</f>
        <v>м</v>
      </c>
      <c r="D68" s="29">
        <f>Source!I290</f>
        <v>97.5</v>
      </c>
      <c r="E68" s="27"/>
    </row>
    <row r="69" spans="1:5" ht="14.25" x14ac:dyDescent="0.2">
      <c r="A69" s="26"/>
      <c r="B69" s="27" t="str">
        <f>Source!G291</f>
        <v>Профилированный настил окрашенный С21-1000-0,5</v>
      </c>
      <c r="C69" s="28" t="str">
        <f>Source!DW291</f>
        <v>т</v>
      </c>
      <c r="D69" s="29">
        <f>Source!I291</f>
        <v>0.27100000000000002</v>
      </c>
      <c r="E69" s="27"/>
    </row>
    <row r="70" spans="1:5" ht="14.25" x14ac:dyDescent="0.2">
      <c r="A70" s="26"/>
      <c r="B70" s="27" t="str">
        <f>Source!G292</f>
        <v>Шурупы самосверлящие (саморезы) SL4-F (SFS) 4,8х16 мм</v>
      </c>
      <c r="C70" s="28" t="str">
        <f>Source!DW292</f>
        <v>10 шт.</v>
      </c>
      <c r="D70" s="29">
        <f>Source!I292</f>
        <v>54.2</v>
      </c>
      <c r="E70" s="27"/>
    </row>
    <row r="71" spans="1:5" ht="42.75" x14ac:dyDescent="0.2">
      <c r="A71" s="26" t="str">
        <f>Source!E293</f>
        <v>40</v>
      </c>
      <c r="B71" s="27" t="str">
        <f>Source!G293</f>
        <v>Огрунтовка металлических поверхностей за один раз: грунтовкой ГФ-021</v>
      </c>
      <c r="C71" s="28" t="str">
        <f>Source!DW293</f>
        <v>100 м2 окрашиваемой поверхности</v>
      </c>
      <c r="D71" s="29">
        <f>Source!I293</f>
        <v>0.14299999999999999</v>
      </c>
      <c r="E71" s="27"/>
    </row>
    <row r="72" spans="1:5" ht="42.75" x14ac:dyDescent="0.2">
      <c r="A72" s="22" t="str">
        <f>Source!E294</f>
        <v>41</v>
      </c>
      <c r="B72" s="23" t="str">
        <f>Source!G294</f>
        <v>Окраска металлических огрунтованных поверхностей: эмалью ПФ-115</v>
      </c>
      <c r="C72" s="24" t="str">
        <f>Source!DW294</f>
        <v>100 м2 окрашиваемой поверхности</v>
      </c>
      <c r="D72" s="25">
        <f>Source!I294</f>
        <v>0.14299999999999999</v>
      </c>
      <c r="E72" s="23"/>
    </row>
    <row r="75" spans="1:5" ht="15" x14ac:dyDescent="0.25">
      <c r="A75" s="30" t="s">
        <v>633</v>
      </c>
      <c r="B75" s="30"/>
      <c r="C75" s="30"/>
      <c r="D75" s="30"/>
      <c r="E75" s="30"/>
    </row>
  </sheetData>
  <mergeCells count="10">
    <mergeCell ref="A8:D8"/>
    <mergeCell ref="A9:D9"/>
    <mergeCell ref="A16:E16"/>
    <mergeCell ref="A56:E56"/>
    <mergeCell ref="A17:E17"/>
    <mergeCell ref="A25:E25"/>
    <mergeCell ref="A26:E26"/>
    <mergeCell ref="A37:E37"/>
    <mergeCell ref="A46:E46"/>
    <mergeCell ref="A51:E51"/>
  </mergeCells>
  <pageMargins left="0.4" right="0.2" top="0.2" bottom="0.4" header="0.2" footer="0.2"/>
  <pageSetup paperSize="9" scale="76" fitToHeight="0" orientation="portrait" verticalDpi="0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61"/>
  <sheetViews>
    <sheetView workbookViewId="0">
      <selection activeCell="I36" sqref="I3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51900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457</v>
      </c>
      <c r="C12" s="1">
        <v>0</v>
      </c>
      <c r="D12" s="1">
        <f>ROW(A398)</f>
        <v>398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B398</f>
        <v>457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объект_(Копия)_(Копия)_(Копия)_(Копия)_(Копия)</v>
      </c>
      <c r="G18" s="2" t="str">
        <f t="shared" si="0"/>
        <v>ул. Октябрьской Революции 4</v>
      </c>
      <c r="H18" s="2"/>
      <c r="I18" s="2"/>
      <c r="J18" s="2"/>
      <c r="K18" s="2"/>
      <c r="L18" s="2"/>
      <c r="M18" s="2"/>
      <c r="N18" s="2"/>
      <c r="O18" s="2">
        <f t="shared" ref="O18:AT18" si="1">O398</f>
        <v>189547.57</v>
      </c>
      <c r="P18" s="2">
        <f t="shared" si="1"/>
        <v>161408.45000000001</v>
      </c>
      <c r="Q18" s="2">
        <f t="shared" si="1"/>
        <v>23024.38</v>
      </c>
      <c r="R18" s="2">
        <f t="shared" si="1"/>
        <v>1588.54</v>
      </c>
      <c r="S18" s="2">
        <f t="shared" si="1"/>
        <v>5114.74</v>
      </c>
      <c r="T18" s="2">
        <f t="shared" si="1"/>
        <v>0</v>
      </c>
      <c r="U18" s="2">
        <f t="shared" si="1"/>
        <v>731.61551144999999</v>
      </c>
      <c r="V18" s="2">
        <f t="shared" si="1"/>
        <v>128.76012399999999</v>
      </c>
      <c r="W18" s="2">
        <f t="shared" si="1"/>
        <v>0</v>
      </c>
      <c r="X18" s="2">
        <f t="shared" si="1"/>
        <v>8371.42</v>
      </c>
      <c r="Y18" s="2">
        <f t="shared" si="1"/>
        <v>4824.72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202743.71</v>
      </c>
      <c r="AS18" s="2">
        <f t="shared" si="1"/>
        <v>202743.71</v>
      </c>
      <c r="AT18" s="2">
        <f t="shared" si="1"/>
        <v>0</v>
      </c>
      <c r="AU18" s="2">
        <f t="shared" ref="AU18:BZ18" si="2">AU398</f>
        <v>0</v>
      </c>
      <c r="AV18" s="2">
        <f t="shared" si="2"/>
        <v>161408.45000000001</v>
      </c>
      <c r="AW18" s="2">
        <f t="shared" si="2"/>
        <v>161408.45000000001</v>
      </c>
      <c r="AX18" s="2">
        <f t="shared" si="2"/>
        <v>0</v>
      </c>
      <c r="AY18" s="2">
        <f t="shared" si="2"/>
        <v>161408.45000000001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2489.41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CA398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DG398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EM398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FS398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ROW(A363)</f>
        <v>363</v>
      </c>
      <c r="E20" s="1"/>
      <c r="F20" s="1" t="s">
        <v>11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12</v>
      </c>
      <c r="BE20" s="1" t="s">
        <v>12</v>
      </c>
      <c r="BF20" s="1" t="s">
        <v>13</v>
      </c>
      <c r="BG20" s="1" t="s">
        <v>3</v>
      </c>
      <c r="BH20" s="1" t="s">
        <v>13</v>
      </c>
      <c r="BI20" s="1" t="s">
        <v>12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12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</row>
    <row r="22" spans="1:245" x14ac:dyDescent="0.2">
      <c r="A22" s="2">
        <v>52</v>
      </c>
      <c r="B22" s="2">
        <f t="shared" ref="B22:G22" si="7">B363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O363</f>
        <v>189547.57</v>
      </c>
      <c r="P22" s="2">
        <f t="shared" si="8"/>
        <v>161408.45000000001</v>
      </c>
      <c r="Q22" s="2">
        <f t="shared" si="8"/>
        <v>23024.38</v>
      </c>
      <c r="R22" s="2">
        <f t="shared" si="8"/>
        <v>1588.54</v>
      </c>
      <c r="S22" s="2">
        <f t="shared" si="8"/>
        <v>5114.74</v>
      </c>
      <c r="T22" s="2">
        <f t="shared" si="8"/>
        <v>0</v>
      </c>
      <c r="U22" s="2">
        <f t="shared" si="8"/>
        <v>731.61551144999999</v>
      </c>
      <c r="V22" s="2">
        <f t="shared" si="8"/>
        <v>128.76012399999999</v>
      </c>
      <c r="W22" s="2">
        <f t="shared" si="8"/>
        <v>0</v>
      </c>
      <c r="X22" s="2">
        <f t="shared" si="8"/>
        <v>8371.42</v>
      </c>
      <c r="Y22" s="2">
        <f t="shared" si="8"/>
        <v>4824.72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202743.71</v>
      </c>
      <c r="AS22" s="2">
        <f t="shared" si="8"/>
        <v>202743.71</v>
      </c>
      <c r="AT22" s="2">
        <f t="shared" si="8"/>
        <v>0</v>
      </c>
      <c r="AU22" s="2">
        <f t="shared" ref="AU22:BZ22" si="9">AU363</f>
        <v>0</v>
      </c>
      <c r="AV22" s="2">
        <f t="shared" si="9"/>
        <v>161408.45000000001</v>
      </c>
      <c r="AW22" s="2">
        <f t="shared" si="9"/>
        <v>161408.45000000001</v>
      </c>
      <c r="AX22" s="2">
        <f t="shared" si="9"/>
        <v>0</v>
      </c>
      <c r="AY22" s="2">
        <f t="shared" si="9"/>
        <v>161408.45000000001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2489.41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CA363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DG363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EM363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FS363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ROW(A326)</f>
        <v>326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12</v>
      </c>
      <c r="BE24" s="1" t="s">
        <v>12</v>
      </c>
      <c r="BF24" s="1" t="s">
        <v>13</v>
      </c>
      <c r="BG24" s="1" t="s">
        <v>3</v>
      </c>
      <c r="BH24" s="1" t="s">
        <v>13</v>
      </c>
      <c r="BI24" s="1" t="s">
        <v>12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12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B326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  ул. Октябрьской революции 4</v>
      </c>
      <c r="H26" s="2"/>
      <c r="I26" s="2"/>
      <c r="J26" s="2"/>
      <c r="K26" s="2"/>
      <c r="L26" s="2"/>
      <c r="M26" s="2"/>
      <c r="N26" s="2"/>
      <c r="O26" s="2">
        <f t="shared" ref="O26:AT26" si="15">O326</f>
        <v>189547.57</v>
      </c>
      <c r="P26" s="2">
        <f t="shared" si="15"/>
        <v>161408.45000000001</v>
      </c>
      <c r="Q26" s="2">
        <f t="shared" si="15"/>
        <v>23024.38</v>
      </c>
      <c r="R26" s="2">
        <f t="shared" si="15"/>
        <v>1588.54</v>
      </c>
      <c r="S26" s="2">
        <f t="shared" si="15"/>
        <v>5114.74</v>
      </c>
      <c r="T26" s="2">
        <f t="shared" si="15"/>
        <v>0</v>
      </c>
      <c r="U26" s="2">
        <f t="shared" si="15"/>
        <v>731.61551144999999</v>
      </c>
      <c r="V26" s="2">
        <f t="shared" si="15"/>
        <v>128.76012399999999</v>
      </c>
      <c r="W26" s="2">
        <f t="shared" si="15"/>
        <v>0</v>
      </c>
      <c r="X26" s="2">
        <f t="shared" si="15"/>
        <v>8371.42</v>
      </c>
      <c r="Y26" s="2">
        <f t="shared" si="15"/>
        <v>4824.72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202743.71</v>
      </c>
      <c r="AS26" s="2">
        <f t="shared" si="15"/>
        <v>202743.71</v>
      </c>
      <c r="AT26" s="2">
        <f t="shared" si="15"/>
        <v>0</v>
      </c>
      <c r="AU26" s="2">
        <f t="shared" ref="AU26:BZ26" si="16">AU326</f>
        <v>0</v>
      </c>
      <c r="AV26" s="2">
        <f t="shared" si="16"/>
        <v>161408.45000000001</v>
      </c>
      <c r="AW26" s="2">
        <f t="shared" si="16"/>
        <v>161408.45000000001</v>
      </c>
      <c r="AX26" s="2">
        <f t="shared" si="16"/>
        <v>0</v>
      </c>
      <c r="AY26" s="2">
        <f t="shared" si="16"/>
        <v>161408.45000000001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2489.41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CA326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DG326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EM326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FS326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ROW(A40)</f>
        <v>40</v>
      </c>
      <c r="E28" s="1"/>
      <c r="F28" s="1" t="s">
        <v>16</v>
      </c>
      <c r="G28" s="1" t="s">
        <v>17</v>
      </c>
      <c r="H28" s="1" t="s">
        <v>3</v>
      </c>
      <c r="I28" s="1">
        <v>0</v>
      </c>
      <c r="J28" s="1"/>
      <c r="K28" s="1">
        <v>0</v>
      </c>
      <c r="L28" s="1"/>
      <c r="M28" s="1"/>
      <c r="N28" s="1"/>
      <c r="O28" s="1"/>
      <c r="P28" s="1"/>
      <c r="Q28" s="1"/>
      <c r="R28" s="1"/>
      <c r="S28" s="1"/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12</v>
      </c>
      <c r="BE28" s="1" t="s">
        <v>12</v>
      </c>
      <c r="BF28" s="1" t="s">
        <v>13</v>
      </c>
      <c r="BG28" s="1" t="s">
        <v>3</v>
      </c>
      <c r="BH28" s="1" t="s">
        <v>13</v>
      </c>
      <c r="BI28" s="1" t="s">
        <v>12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12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B40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Расчистка территории</v>
      </c>
      <c r="H30" s="2"/>
      <c r="I30" s="2"/>
      <c r="J30" s="2"/>
      <c r="K30" s="2"/>
      <c r="L30" s="2"/>
      <c r="M30" s="2"/>
      <c r="N30" s="2"/>
      <c r="O30" s="2">
        <f t="shared" ref="O30:AT30" si="22">O40</f>
        <v>12607.97</v>
      </c>
      <c r="P30" s="2">
        <f t="shared" si="22"/>
        <v>4.1100000000000003</v>
      </c>
      <c r="Q30" s="2">
        <f t="shared" si="22"/>
        <v>11221.57</v>
      </c>
      <c r="R30" s="2">
        <f t="shared" si="22"/>
        <v>400.81</v>
      </c>
      <c r="S30" s="2">
        <f t="shared" si="22"/>
        <v>1382.29</v>
      </c>
      <c r="T30" s="2">
        <f t="shared" si="22"/>
        <v>0</v>
      </c>
      <c r="U30" s="2">
        <f t="shared" si="22"/>
        <v>196.80076199999999</v>
      </c>
      <c r="V30" s="2">
        <f t="shared" si="22"/>
        <v>37.580503999999998</v>
      </c>
      <c r="W30" s="2">
        <f t="shared" si="22"/>
        <v>0</v>
      </c>
      <c r="X30" s="2">
        <f t="shared" si="22"/>
        <v>1899.85</v>
      </c>
      <c r="Y30" s="2">
        <f t="shared" si="22"/>
        <v>1089.93</v>
      </c>
      <c r="Z30" s="2">
        <f t="shared" si="22"/>
        <v>0</v>
      </c>
      <c r="AA30" s="2">
        <f t="shared" si="22"/>
        <v>0</v>
      </c>
      <c r="AB30" s="2">
        <f t="shared" si="22"/>
        <v>12607.97</v>
      </c>
      <c r="AC30" s="2">
        <f t="shared" si="22"/>
        <v>4.1100000000000003</v>
      </c>
      <c r="AD30" s="2">
        <f t="shared" si="22"/>
        <v>11221.57</v>
      </c>
      <c r="AE30" s="2">
        <f t="shared" si="22"/>
        <v>400.81</v>
      </c>
      <c r="AF30" s="2">
        <f t="shared" si="22"/>
        <v>1382.29</v>
      </c>
      <c r="AG30" s="2">
        <f t="shared" si="22"/>
        <v>0</v>
      </c>
      <c r="AH30" s="2">
        <f t="shared" si="22"/>
        <v>196.80076199999999</v>
      </c>
      <c r="AI30" s="2">
        <f t="shared" si="22"/>
        <v>37.580503999999998</v>
      </c>
      <c r="AJ30" s="2">
        <f t="shared" si="22"/>
        <v>0</v>
      </c>
      <c r="AK30" s="2">
        <f t="shared" si="22"/>
        <v>1899.85</v>
      </c>
      <c r="AL30" s="2">
        <f t="shared" si="22"/>
        <v>1089.93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15597.75</v>
      </c>
      <c r="AS30" s="2">
        <f t="shared" si="22"/>
        <v>15597.75</v>
      </c>
      <c r="AT30" s="2">
        <f t="shared" si="22"/>
        <v>0</v>
      </c>
      <c r="AU30" s="2">
        <f t="shared" ref="AU30:BZ30" si="23">AU40</f>
        <v>0</v>
      </c>
      <c r="AV30" s="2">
        <f t="shared" si="23"/>
        <v>4.1100000000000003</v>
      </c>
      <c r="AW30" s="2">
        <f t="shared" si="23"/>
        <v>4.1100000000000003</v>
      </c>
      <c r="AX30" s="2">
        <f t="shared" si="23"/>
        <v>0</v>
      </c>
      <c r="AY30" s="2">
        <f t="shared" si="23"/>
        <v>4.1100000000000003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1875.73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CA40</f>
        <v>15597.75</v>
      </c>
      <c r="CB30" s="2">
        <f t="shared" si="24"/>
        <v>15597.75</v>
      </c>
      <c r="CC30" s="2">
        <f t="shared" si="24"/>
        <v>0</v>
      </c>
      <c r="CD30" s="2">
        <f t="shared" si="24"/>
        <v>0</v>
      </c>
      <c r="CE30" s="2">
        <f t="shared" si="24"/>
        <v>4.1100000000000003</v>
      </c>
      <c r="CF30" s="2">
        <f t="shared" si="24"/>
        <v>4.1100000000000003</v>
      </c>
      <c r="CG30" s="2">
        <f t="shared" si="24"/>
        <v>0</v>
      </c>
      <c r="CH30" s="2">
        <f t="shared" si="24"/>
        <v>4.1100000000000003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1875.73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DG40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EM40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FS40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ROW(SmtRes!A5)</f>
        <v>5</v>
      </c>
      <c r="D32">
        <f>ROW(EtalonRes!A5)</f>
        <v>5</v>
      </c>
      <c r="E32" t="s">
        <v>18</v>
      </c>
      <c r="F32" t="s">
        <v>19</v>
      </c>
      <c r="G32" t="s">
        <v>20</v>
      </c>
      <c r="H32" t="s">
        <v>21</v>
      </c>
      <c r="I32">
        <f>ROUND((2*4*0.2*0.2*0.335+3*1*0.2*0.2*0.35)/100,4)</f>
        <v>1.5E-3</v>
      </c>
      <c r="J32">
        <v>0</v>
      </c>
      <c r="O32">
        <f t="shared" ref="O32:O38" si="28">ROUND(CP32,2)</f>
        <v>3.66</v>
      </c>
      <c r="P32">
        <f t="shared" ref="P32:P38" si="29">ROUND(CQ32*I32,2)</f>
        <v>0</v>
      </c>
      <c r="Q32">
        <f t="shared" ref="Q32:Q38" si="30">ROUND(CR32*I32,2)</f>
        <v>2.89</v>
      </c>
      <c r="R32">
        <f t="shared" ref="R32:R38" si="31">ROUND(CS32*I32,2)</f>
        <v>0.34</v>
      </c>
      <c r="S32">
        <f t="shared" ref="S32:S38" si="32">ROUND(CT32*I32,2)</f>
        <v>0.77</v>
      </c>
      <c r="T32">
        <f t="shared" ref="T32:T38" si="33">ROUND(CU32*I32,2)</f>
        <v>0</v>
      </c>
      <c r="U32">
        <f t="shared" ref="U32:U38" si="34">CV32*I32</f>
        <v>0.11658</v>
      </c>
      <c r="V32">
        <f t="shared" ref="V32:V38" si="35">CW32*I32</f>
        <v>2.5275000000000002E-2</v>
      </c>
      <c r="W32">
        <f t="shared" ref="W32:W38" si="36">ROUND(CX32*I32,2)</f>
        <v>0</v>
      </c>
      <c r="X32">
        <f t="shared" ref="X32:Y38" si="37">ROUND(CY32,2)</f>
        <v>1.1499999999999999</v>
      </c>
      <c r="Y32">
        <f t="shared" si="37"/>
        <v>0.67</v>
      </c>
      <c r="AA32">
        <v>39201625</v>
      </c>
      <c r="AB32">
        <f t="shared" ref="AB32:AB38" si="38">ROUND((AC32+AD32+AF32),2)</f>
        <v>2435.09</v>
      </c>
      <c r="AC32">
        <f t="shared" ref="AC32:AC38" si="39">ROUND((ES32),2)</f>
        <v>0</v>
      </c>
      <c r="AD32">
        <f>ROUND((((ET32)-(EU32))+AE32),2)</f>
        <v>1923.69</v>
      </c>
      <c r="AE32">
        <f t="shared" ref="AE32:AF34" si="40">ROUND((EU32),2)</f>
        <v>223.43</v>
      </c>
      <c r="AF32">
        <f t="shared" si="40"/>
        <v>511.4</v>
      </c>
      <c r="AG32">
        <f t="shared" ref="AG32:AG38" si="41">ROUND((AP32),2)</f>
        <v>0</v>
      </c>
      <c r="AH32">
        <f t="shared" ref="AH32:AI34" si="42">(EW32)</f>
        <v>77.72</v>
      </c>
      <c r="AI32">
        <f t="shared" si="42"/>
        <v>16.850000000000001</v>
      </c>
      <c r="AJ32">
        <f t="shared" ref="AJ32:AJ38" si="43">(AS32)</f>
        <v>0</v>
      </c>
      <c r="AK32">
        <v>2435.09</v>
      </c>
      <c r="AL32">
        <v>0</v>
      </c>
      <c r="AM32">
        <v>1923.69</v>
      </c>
      <c r="AN32">
        <v>223.43</v>
      </c>
      <c r="AO32">
        <v>511.4</v>
      </c>
      <c r="AP32">
        <v>0</v>
      </c>
      <c r="AQ32">
        <v>77.72</v>
      </c>
      <c r="AR32">
        <v>16.850000000000001</v>
      </c>
      <c r="AS32">
        <v>0</v>
      </c>
      <c r="AT32">
        <v>104</v>
      </c>
      <c r="AU32">
        <v>60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22</v>
      </c>
      <c r="BM32">
        <v>68001</v>
      </c>
      <c r="BN32">
        <v>0</v>
      </c>
      <c r="BO32" t="s">
        <v>3</v>
      </c>
      <c r="BP32">
        <v>0</v>
      </c>
      <c r="BQ32">
        <v>6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104</v>
      </c>
      <c r="CA32">
        <v>60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38" si="44">(P32+Q32+S32)</f>
        <v>3.66</v>
      </c>
      <c r="CQ32">
        <f t="shared" ref="CQ32:CQ38" si="45">AC32*BC32</f>
        <v>0</v>
      </c>
      <c r="CR32">
        <f t="shared" ref="CR32:CR38" si="46">AD32*BB32</f>
        <v>1923.69</v>
      </c>
      <c r="CS32">
        <f t="shared" ref="CS32:CS38" si="47">AE32*BS32</f>
        <v>223.43</v>
      </c>
      <c r="CT32">
        <f t="shared" ref="CT32:CT38" si="48">AF32*BA32</f>
        <v>511.4</v>
      </c>
      <c r="CU32">
        <f t="shared" ref="CU32:CX38" si="49">AG32</f>
        <v>0</v>
      </c>
      <c r="CV32">
        <f t="shared" si="49"/>
        <v>77.72</v>
      </c>
      <c r="CW32">
        <f t="shared" si="49"/>
        <v>16.850000000000001</v>
      </c>
      <c r="CX32">
        <f t="shared" si="49"/>
        <v>0</v>
      </c>
      <c r="CY32">
        <f>(((S32+R32)*ROUND((FX32*IF((0=0),(IF(0,1,1)*1*IF(1,1,1)),1)),0))/100)</f>
        <v>1.1544000000000001</v>
      </c>
      <c r="CZ32">
        <f>(((S32+R32)*ROUND((FY32*IF((0=0),(1*IF(1,1,1)),1)),0))/100)</f>
        <v>0.66600000000000004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21</v>
      </c>
      <c r="DW32" t="s">
        <v>21</v>
      </c>
      <c r="DX32">
        <v>100</v>
      </c>
      <c r="EE32">
        <v>39191009</v>
      </c>
      <c r="EF32">
        <v>6</v>
      </c>
      <c r="EG32" t="s">
        <v>23</v>
      </c>
      <c r="EH32">
        <v>0</v>
      </c>
      <c r="EI32" t="s">
        <v>3</v>
      </c>
      <c r="EJ32">
        <v>1</v>
      </c>
      <c r="EK32">
        <v>68001</v>
      </c>
      <c r="EL32" t="s">
        <v>24</v>
      </c>
      <c r="EM32" t="s">
        <v>25</v>
      </c>
      <c r="EO32" t="s">
        <v>3</v>
      </c>
      <c r="EQ32">
        <v>131072</v>
      </c>
      <c r="ER32">
        <v>2435.09</v>
      </c>
      <c r="ES32">
        <v>0</v>
      </c>
      <c r="ET32">
        <v>1923.69</v>
      </c>
      <c r="EU32">
        <v>223.43</v>
      </c>
      <c r="EV32">
        <v>511.4</v>
      </c>
      <c r="EW32">
        <v>77.72</v>
      </c>
      <c r="EX32">
        <v>16.850000000000001</v>
      </c>
      <c r="EY32">
        <v>0</v>
      </c>
      <c r="FQ32">
        <v>0</v>
      </c>
      <c r="FR32">
        <f t="shared" ref="FR32:FR38" si="50">ROUND(IF(AND(BH32=3,BI32=3),P32,0),2)</f>
        <v>0</v>
      </c>
      <c r="FS32">
        <v>0</v>
      </c>
      <c r="FX32">
        <v>104</v>
      </c>
      <c r="FY32">
        <v>60</v>
      </c>
      <c r="GA32" t="s">
        <v>3</v>
      </c>
      <c r="GD32">
        <v>1</v>
      </c>
      <c r="GF32">
        <v>746617693</v>
      </c>
      <c r="GG32">
        <v>2</v>
      </c>
      <c r="GH32">
        <v>0</v>
      </c>
      <c r="GI32">
        <v>0</v>
      </c>
      <c r="GJ32">
        <v>0</v>
      </c>
      <c r="GK32">
        <v>0</v>
      </c>
      <c r="GL32">
        <f t="shared" ref="GL32:GL38" si="51">ROUND(IF(AND(BH32=3,BI32=3,FS32&lt;&gt;0),P32,0),2)</f>
        <v>0</v>
      </c>
      <c r="GM32">
        <f t="shared" ref="GM32:GM38" si="52">ROUND(O32+X32+Y32,2)+GX32</f>
        <v>5.48</v>
      </c>
      <c r="GN32">
        <f t="shared" ref="GN32:GN38" si="53">IF(OR(BI32=0,BI32=1),ROUND(O32+X32+Y32,2),0)</f>
        <v>5.48</v>
      </c>
      <c r="GO32">
        <f t="shared" ref="GO32:GO38" si="54">IF(BI32=2,ROUND(O32+X32+Y32,2),0)</f>
        <v>0</v>
      </c>
      <c r="GP32">
        <f t="shared" ref="GP32:GP38" si="55">IF(BI32=4,ROUND(O32+X32+Y32,2)+GX32,0)</f>
        <v>0</v>
      </c>
      <c r="GR32">
        <v>0</v>
      </c>
      <c r="GS32">
        <v>0</v>
      </c>
      <c r="GT32">
        <v>0</v>
      </c>
      <c r="GU32" t="s">
        <v>3</v>
      </c>
      <c r="GV32">
        <f t="shared" ref="GV32:GV38" si="56">ROUND((GT32),2)</f>
        <v>0</v>
      </c>
      <c r="GW32">
        <v>1</v>
      </c>
      <c r="GX32">
        <f t="shared" ref="GX32:GX38" si="57">ROUND(HC32*I32,2)</f>
        <v>0</v>
      </c>
      <c r="HA32">
        <v>0</v>
      </c>
      <c r="HB32">
        <v>0</v>
      </c>
      <c r="HC32">
        <f t="shared" ref="HC32:HC38" si="58">GV32*GW32</f>
        <v>0</v>
      </c>
      <c r="IK32">
        <v>0</v>
      </c>
    </row>
    <row r="33" spans="1:245" x14ac:dyDescent="0.2">
      <c r="A33">
        <v>17</v>
      </c>
      <c r="B33">
        <v>1</v>
      </c>
      <c r="C33">
        <f>ROW(SmtRes!A12)</f>
        <v>12</v>
      </c>
      <c r="D33">
        <f>ROW(EtalonRes!A12)</f>
        <v>12</v>
      </c>
      <c r="E33" t="s">
        <v>26</v>
      </c>
      <c r="F33" t="s">
        <v>27</v>
      </c>
      <c r="G33" t="s">
        <v>28</v>
      </c>
      <c r="H33" t="s">
        <v>29</v>
      </c>
      <c r="I33">
        <f>ROUND(920.39/100,4)</f>
        <v>9.2039000000000009</v>
      </c>
      <c r="J33">
        <v>0</v>
      </c>
      <c r="O33">
        <f t="shared" si="28"/>
        <v>6568.73</v>
      </c>
      <c r="P33">
        <f t="shared" si="29"/>
        <v>3.68</v>
      </c>
      <c r="Q33">
        <f t="shared" si="30"/>
        <v>6538.45</v>
      </c>
      <c r="R33">
        <f t="shared" si="31"/>
        <v>102.9</v>
      </c>
      <c r="S33">
        <f t="shared" si="32"/>
        <v>26.6</v>
      </c>
      <c r="T33">
        <f t="shared" si="33"/>
        <v>0</v>
      </c>
      <c r="U33">
        <f t="shared" si="34"/>
        <v>3.8656380000000001</v>
      </c>
      <c r="V33">
        <f t="shared" si="35"/>
        <v>8.3755490000000012</v>
      </c>
      <c r="W33">
        <f t="shared" si="36"/>
        <v>0</v>
      </c>
      <c r="X33">
        <f t="shared" si="37"/>
        <v>183.89</v>
      </c>
      <c r="Y33">
        <f t="shared" si="37"/>
        <v>104.9</v>
      </c>
      <c r="AA33">
        <v>39201625</v>
      </c>
      <c r="AB33">
        <f t="shared" si="38"/>
        <v>713.69</v>
      </c>
      <c r="AC33">
        <f t="shared" si="39"/>
        <v>0.4</v>
      </c>
      <c r="AD33">
        <f>ROUND((((ET33)-(EU33))+AE33),2)</f>
        <v>710.4</v>
      </c>
      <c r="AE33">
        <f t="shared" si="40"/>
        <v>11.18</v>
      </c>
      <c r="AF33">
        <f t="shared" si="40"/>
        <v>2.89</v>
      </c>
      <c r="AG33">
        <f t="shared" si="41"/>
        <v>0</v>
      </c>
      <c r="AH33">
        <f t="shared" si="42"/>
        <v>0.42</v>
      </c>
      <c r="AI33">
        <f t="shared" si="42"/>
        <v>0.91</v>
      </c>
      <c r="AJ33">
        <f t="shared" si="43"/>
        <v>0</v>
      </c>
      <c r="AK33">
        <v>713.69</v>
      </c>
      <c r="AL33">
        <v>0.4</v>
      </c>
      <c r="AM33">
        <v>710.4</v>
      </c>
      <c r="AN33">
        <v>11.18</v>
      </c>
      <c r="AO33">
        <v>2.89</v>
      </c>
      <c r="AP33">
        <v>0</v>
      </c>
      <c r="AQ33">
        <v>0.42</v>
      </c>
      <c r="AR33">
        <v>0.91</v>
      </c>
      <c r="AS33">
        <v>0</v>
      </c>
      <c r="AT33">
        <v>142</v>
      </c>
      <c r="AU33">
        <v>81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30</v>
      </c>
      <c r="BM33">
        <v>27001</v>
      </c>
      <c r="BN33">
        <v>0</v>
      </c>
      <c r="BO33" t="s">
        <v>3</v>
      </c>
      <c r="BP33">
        <v>0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142</v>
      </c>
      <c r="CA33">
        <v>95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4"/>
        <v>6568.7300000000005</v>
      </c>
      <c r="CQ33">
        <f t="shared" si="45"/>
        <v>0.4</v>
      </c>
      <c r="CR33">
        <f t="shared" si="46"/>
        <v>710.4</v>
      </c>
      <c r="CS33">
        <f t="shared" si="47"/>
        <v>11.18</v>
      </c>
      <c r="CT33">
        <f t="shared" si="48"/>
        <v>2.89</v>
      </c>
      <c r="CU33">
        <f t="shared" si="49"/>
        <v>0</v>
      </c>
      <c r="CV33">
        <f t="shared" si="49"/>
        <v>0.42</v>
      </c>
      <c r="CW33">
        <f t="shared" si="49"/>
        <v>0.91</v>
      </c>
      <c r="CX33">
        <f t="shared" si="49"/>
        <v>0</v>
      </c>
      <c r="CY33">
        <f>(((S33+R33)*ROUND((FX33*IF((0=0),(IF(0,1,1)*1*IF(1,1,1)),1)),0))/100)</f>
        <v>183.89</v>
      </c>
      <c r="CZ33">
        <f>(((S33+R33)*ROUND((FY33*IF((0=0),(1*IF(1,1,1)),1)),0))/100)</f>
        <v>104.895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29</v>
      </c>
      <c r="DW33" t="s">
        <v>29</v>
      </c>
      <c r="DX33">
        <v>1</v>
      </c>
      <c r="EE33">
        <v>39190938</v>
      </c>
      <c r="EF33">
        <v>2</v>
      </c>
      <c r="EG33" t="s">
        <v>31</v>
      </c>
      <c r="EH33">
        <v>0</v>
      </c>
      <c r="EI33" t="s">
        <v>3</v>
      </c>
      <c r="EJ33">
        <v>1</v>
      </c>
      <c r="EK33">
        <v>27001</v>
      </c>
      <c r="EL33" t="s">
        <v>32</v>
      </c>
      <c r="EM33" t="s">
        <v>33</v>
      </c>
      <c r="EO33" t="s">
        <v>3</v>
      </c>
      <c r="EQ33">
        <v>131072</v>
      </c>
      <c r="ER33">
        <v>713.69</v>
      </c>
      <c r="ES33">
        <v>0.4</v>
      </c>
      <c r="ET33">
        <v>710.4</v>
      </c>
      <c r="EU33">
        <v>11.18</v>
      </c>
      <c r="EV33">
        <v>2.89</v>
      </c>
      <c r="EW33">
        <v>0.42</v>
      </c>
      <c r="EX33">
        <v>0.91</v>
      </c>
      <c r="EY33">
        <v>0</v>
      </c>
      <c r="FQ33">
        <v>0</v>
      </c>
      <c r="FR33">
        <f t="shared" si="50"/>
        <v>0</v>
      </c>
      <c r="FS33">
        <v>0</v>
      </c>
      <c r="FU33" t="s">
        <v>34</v>
      </c>
      <c r="FX33">
        <v>142</v>
      </c>
      <c r="FY33">
        <v>80.75</v>
      </c>
      <c r="GA33" t="s">
        <v>3</v>
      </c>
      <c r="GD33">
        <v>1</v>
      </c>
      <c r="GF33">
        <v>15912649</v>
      </c>
      <c r="GG33">
        <v>2</v>
      </c>
      <c r="GH33">
        <v>0</v>
      </c>
      <c r="GI33">
        <v>0</v>
      </c>
      <c r="GJ33">
        <v>0</v>
      </c>
      <c r="GK33">
        <v>0</v>
      </c>
      <c r="GL33">
        <f t="shared" si="51"/>
        <v>0</v>
      </c>
      <c r="GM33">
        <f t="shared" si="52"/>
        <v>6857.52</v>
      </c>
      <c r="GN33">
        <f t="shared" si="53"/>
        <v>6857.52</v>
      </c>
      <c r="GO33">
        <f t="shared" si="54"/>
        <v>0</v>
      </c>
      <c r="GP33">
        <f t="shared" si="55"/>
        <v>0</v>
      </c>
      <c r="GR33">
        <v>0</v>
      </c>
      <c r="GS33">
        <v>0</v>
      </c>
      <c r="GT33">
        <v>0</v>
      </c>
      <c r="GU33" t="s">
        <v>3</v>
      </c>
      <c r="GV33">
        <f t="shared" si="56"/>
        <v>0</v>
      </c>
      <c r="GW33">
        <v>1</v>
      </c>
      <c r="GX33">
        <f t="shared" si="57"/>
        <v>0</v>
      </c>
      <c r="HA33">
        <v>0</v>
      </c>
      <c r="HB33">
        <v>0</v>
      </c>
      <c r="HC33">
        <f t="shared" si="58"/>
        <v>0</v>
      </c>
      <c r="IK33">
        <v>0</v>
      </c>
    </row>
    <row r="34" spans="1:245" x14ac:dyDescent="0.2">
      <c r="A34">
        <v>17</v>
      </c>
      <c r="B34">
        <v>1</v>
      </c>
      <c r="C34">
        <f>ROW(SmtRes!A16)</f>
        <v>16</v>
      </c>
      <c r="D34">
        <f>ROW(EtalonRes!A16)</f>
        <v>16</v>
      </c>
      <c r="E34" t="s">
        <v>35</v>
      </c>
      <c r="F34" t="s">
        <v>36</v>
      </c>
      <c r="G34" t="s">
        <v>37</v>
      </c>
      <c r="H34" t="s">
        <v>38</v>
      </c>
      <c r="I34">
        <f>ROUND(281.2/100,4)</f>
        <v>2.8119999999999998</v>
      </c>
      <c r="J34">
        <v>0</v>
      </c>
      <c r="O34">
        <f t="shared" si="28"/>
        <v>3844.9</v>
      </c>
      <c r="P34">
        <f t="shared" si="29"/>
        <v>0</v>
      </c>
      <c r="Q34">
        <f t="shared" si="30"/>
        <v>2495.5100000000002</v>
      </c>
      <c r="R34">
        <f t="shared" si="31"/>
        <v>261.14999999999998</v>
      </c>
      <c r="S34">
        <f t="shared" si="32"/>
        <v>1349.39</v>
      </c>
      <c r="T34">
        <f t="shared" si="33"/>
        <v>0</v>
      </c>
      <c r="U34">
        <f t="shared" si="34"/>
        <v>191.94712000000001</v>
      </c>
      <c r="V34">
        <f t="shared" si="35"/>
        <v>26.4328</v>
      </c>
      <c r="W34">
        <f t="shared" si="36"/>
        <v>0</v>
      </c>
      <c r="X34">
        <f t="shared" si="37"/>
        <v>1674.96</v>
      </c>
      <c r="Y34">
        <f t="shared" si="37"/>
        <v>966.32</v>
      </c>
      <c r="AA34">
        <v>39201625</v>
      </c>
      <c r="AB34">
        <f t="shared" si="38"/>
        <v>1367.32</v>
      </c>
      <c r="AC34">
        <f t="shared" si="39"/>
        <v>0</v>
      </c>
      <c r="AD34">
        <f>ROUND((((ET34)-(EU34))+AE34),2)</f>
        <v>887.45</v>
      </c>
      <c r="AE34">
        <f t="shared" si="40"/>
        <v>92.87</v>
      </c>
      <c r="AF34">
        <f t="shared" si="40"/>
        <v>479.87</v>
      </c>
      <c r="AG34">
        <f t="shared" si="41"/>
        <v>0</v>
      </c>
      <c r="AH34">
        <f t="shared" si="42"/>
        <v>68.260000000000005</v>
      </c>
      <c r="AI34">
        <f t="shared" si="42"/>
        <v>9.4</v>
      </c>
      <c r="AJ34">
        <f t="shared" si="43"/>
        <v>0</v>
      </c>
      <c r="AK34">
        <v>1367.32</v>
      </c>
      <c r="AL34">
        <v>0</v>
      </c>
      <c r="AM34">
        <v>887.45</v>
      </c>
      <c r="AN34">
        <v>92.87</v>
      </c>
      <c r="AO34">
        <v>479.87</v>
      </c>
      <c r="AP34">
        <v>0</v>
      </c>
      <c r="AQ34">
        <v>68.260000000000005</v>
      </c>
      <c r="AR34">
        <v>9.4</v>
      </c>
      <c r="AS34">
        <v>0</v>
      </c>
      <c r="AT34">
        <v>104</v>
      </c>
      <c r="AU34">
        <v>60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39</v>
      </c>
      <c r="BM34">
        <v>68001</v>
      </c>
      <c r="BN34">
        <v>0</v>
      </c>
      <c r="BO34" t="s">
        <v>3</v>
      </c>
      <c r="BP34">
        <v>0</v>
      </c>
      <c r="BQ34">
        <v>6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104</v>
      </c>
      <c r="CA34">
        <v>60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4"/>
        <v>3844.9000000000005</v>
      </c>
      <c r="CQ34">
        <f t="shared" si="45"/>
        <v>0</v>
      </c>
      <c r="CR34">
        <f t="shared" si="46"/>
        <v>887.45</v>
      </c>
      <c r="CS34">
        <f t="shared" si="47"/>
        <v>92.87</v>
      </c>
      <c r="CT34">
        <f t="shared" si="48"/>
        <v>479.87</v>
      </c>
      <c r="CU34">
        <f t="shared" si="49"/>
        <v>0</v>
      </c>
      <c r="CV34">
        <f t="shared" si="49"/>
        <v>68.260000000000005</v>
      </c>
      <c r="CW34">
        <f t="shared" si="49"/>
        <v>9.4</v>
      </c>
      <c r="CX34">
        <f t="shared" si="49"/>
        <v>0</v>
      </c>
      <c r="CY34">
        <f>(((S34+R34)*ROUND((FX34*IF((0=0),(IF(0,1,1)*1*IF(1,1,1)),1)),0))/100)</f>
        <v>1674.9616000000001</v>
      </c>
      <c r="CZ34">
        <f>(((S34+R34)*ROUND((FY34*IF((0=0),(1*IF(1,1,1)),1)),0))/100)</f>
        <v>966.32399999999996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38</v>
      </c>
      <c r="DW34" t="s">
        <v>38</v>
      </c>
      <c r="DX34">
        <v>100</v>
      </c>
      <c r="EE34">
        <v>39191009</v>
      </c>
      <c r="EF34">
        <v>6</v>
      </c>
      <c r="EG34" t="s">
        <v>23</v>
      </c>
      <c r="EH34">
        <v>0</v>
      </c>
      <c r="EI34" t="s">
        <v>3</v>
      </c>
      <c r="EJ34">
        <v>1</v>
      </c>
      <c r="EK34">
        <v>68001</v>
      </c>
      <c r="EL34" t="s">
        <v>24</v>
      </c>
      <c r="EM34" t="s">
        <v>25</v>
      </c>
      <c r="EO34" t="s">
        <v>3</v>
      </c>
      <c r="EQ34">
        <v>131072</v>
      </c>
      <c r="ER34">
        <v>1367.32</v>
      </c>
      <c r="ES34">
        <v>0</v>
      </c>
      <c r="ET34">
        <v>887.45</v>
      </c>
      <c r="EU34">
        <v>92.87</v>
      </c>
      <c r="EV34">
        <v>479.87</v>
      </c>
      <c r="EW34">
        <v>68.260000000000005</v>
      </c>
      <c r="EX34">
        <v>9.4</v>
      </c>
      <c r="EY34">
        <v>0</v>
      </c>
      <c r="FQ34">
        <v>0</v>
      </c>
      <c r="FR34">
        <f t="shared" si="50"/>
        <v>0</v>
      </c>
      <c r="FS34">
        <v>0</v>
      </c>
      <c r="FX34">
        <v>104</v>
      </c>
      <c r="FY34">
        <v>60</v>
      </c>
      <c r="GA34" t="s">
        <v>3</v>
      </c>
      <c r="GD34">
        <v>1</v>
      </c>
      <c r="GF34">
        <v>-1519557652</v>
      </c>
      <c r="GG34">
        <v>2</v>
      </c>
      <c r="GH34">
        <v>0</v>
      </c>
      <c r="GI34">
        <v>0</v>
      </c>
      <c r="GJ34">
        <v>0</v>
      </c>
      <c r="GK34">
        <v>0</v>
      </c>
      <c r="GL34">
        <f t="shared" si="51"/>
        <v>0</v>
      </c>
      <c r="GM34">
        <f t="shared" si="52"/>
        <v>6486.18</v>
      </c>
      <c r="GN34">
        <f t="shared" si="53"/>
        <v>6486.18</v>
      </c>
      <c r="GO34">
        <f t="shared" si="54"/>
        <v>0</v>
      </c>
      <c r="GP34">
        <f t="shared" si="55"/>
        <v>0</v>
      </c>
      <c r="GR34">
        <v>0</v>
      </c>
      <c r="GS34">
        <v>0</v>
      </c>
      <c r="GT34">
        <v>0</v>
      </c>
      <c r="GU34" t="s">
        <v>3</v>
      </c>
      <c r="GV34">
        <f t="shared" si="56"/>
        <v>0</v>
      </c>
      <c r="GW34">
        <v>1</v>
      </c>
      <c r="GX34">
        <f t="shared" si="57"/>
        <v>0</v>
      </c>
      <c r="HA34">
        <v>0</v>
      </c>
      <c r="HB34">
        <v>0</v>
      </c>
      <c r="HC34">
        <f t="shared" si="58"/>
        <v>0</v>
      </c>
      <c r="IK34">
        <v>0</v>
      </c>
    </row>
    <row r="35" spans="1:245" x14ac:dyDescent="0.2">
      <c r="A35">
        <v>17</v>
      </c>
      <c r="B35">
        <v>1</v>
      </c>
      <c r="C35">
        <f>ROW(SmtRes!A21)</f>
        <v>21</v>
      </c>
      <c r="D35">
        <f>ROW(EtalonRes!A21)</f>
        <v>21</v>
      </c>
      <c r="E35" t="s">
        <v>40</v>
      </c>
      <c r="F35" t="s">
        <v>41</v>
      </c>
      <c r="G35" t="s">
        <v>42</v>
      </c>
      <c r="H35" t="s">
        <v>43</v>
      </c>
      <c r="I35">
        <f>ROUND((920.39*0.08+172.16*0.26)/1000,4)</f>
        <v>0.11840000000000001</v>
      </c>
      <c r="J35">
        <v>0</v>
      </c>
      <c r="O35">
        <f t="shared" si="28"/>
        <v>314.95</v>
      </c>
      <c r="P35">
        <f t="shared" si="29"/>
        <v>0.43</v>
      </c>
      <c r="Q35">
        <f t="shared" si="30"/>
        <v>308.99</v>
      </c>
      <c r="R35">
        <f t="shared" si="31"/>
        <v>36.42</v>
      </c>
      <c r="S35">
        <f t="shared" si="32"/>
        <v>5.53</v>
      </c>
      <c r="T35">
        <f t="shared" si="33"/>
        <v>0</v>
      </c>
      <c r="U35">
        <f t="shared" si="34"/>
        <v>0.87142399999999998</v>
      </c>
      <c r="V35">
        <f t="shared" si="35"/>
        <v>2.74688</v>
      </c>
      <c r="W35">
        <f t="shared" si="36"/>
        <v>0</v>
      </c>
      <c r="X35">
        <f t="shared" si="37"/>
        <v>39.85</v>
      </c>
      <c r="Y35">
        <f t="shared" si="37"/>
        <v>18.04</v>
      </c>
      <c r="AA35">
        <v>39201625</v>
      </c>
      <c r="AB35">
        <f t="shared" si="38"/>
        <v>2660.09</v>
      </c>
      <c r="AC35">
        <f t="shared" si="39"/>
        <v>3.63</v>
      </c>
      <c r="AD35">
        <f>ROUND(((((ET35*1.25))-((EU35*1.25)))+AE35),2)</f>
        <v>2609.7199999999998</v>
      </c>
      <c r="AE35">
        <f>ROUND(((EU35*1.25)),2)</f>
        <v>307.64</v>
      </c>
      <c r="AF35">
        <f>ROUND(((EV35*1.15)),2)</f>
        <v>46.74</v>
      </c>
      <c r="AG35">
        <f t="shared" si="41"/>
        <v>0</v>
      </c>
      <c r="AH35">
        <f>((EW35*1.15))</f>
        <v>7.3599999999999994</v>
      </c>
      <c r="AI35">
        <f>((EX35*1.25))</f>
        <v>23.2</v>
      </c>
      <c r="AJ35">
        <f t="shared" si="43"/>
        <v>0</v>
      </c>
      <c r="AK35">
        <v>2132.04</v>
      </c>
      <c r="AL35">
        <v>3.63</v>
      </c>
      <c r="AM35">
        <v>2087.77</v>
      </c>
      <c r="AN35">
        <v>246.11</v>
      </c>
      <c r="AO35">
        <v>40.64</v>
      </c>
      <c r="AP35">
        <v>0</v>
      </c>
      <c r="AQ35">
        <v>6.4</v>
      </c>
      <c r="AR35">
        <v>18.559999999999999</v>
      </c>
      <c r="AS35">
        <v>0</v>
      </c>
      <c r="AT35">
        <v>95</v>
      </c>
      <c r="AU35">
        <v>43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44</v>
      </c>
      <c r="BM35">
        <v>1001</v>
      </c>
      <c r="BN35">
        <v>0</v>
      </c>
      <c r="BO35" t="s">
        <v>3</v>
      </c>
      <c r="BP35">
        <v>0</v>
      </c>
      <c r="BQ35">
        <v>2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50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4"/>
        <v>314.95</v>
      </c>
      <c r="CQ35">
        <f t="shared" si="45"/>
        <v>3.63</v>
      </c>
      <c r="CR35">
        <f t="shared" si="46"/>
        <v>2609.7199999999998</v>
      </c>
      <c r="CS35">
        <f t="shared" si="47"/>
        <v>307.64</v>
      </c>
      <c r="CT35">
        <f t="shared" si="48"/>
        <v>46.74</v>
      </c>
      <c r="CU35">
        <f t="shared" si="49"/>
        <v>0</v>
      </c>
      <c r="CV35">
        <f t="shared" si="49"/>
        <v>7.3599999999999994</v>
      </c>
      <c r="CW35">
        <f t="shared" si="49"/>
        <v>23.2</v>
      </c>
      <c r="CX35">
        <f t="shared" si="49"/>
        <v>0</v>
      </c>
      <c r="CY35">
        <f>(((S35+R35)*ROUND((FX35*IF((0=0),(IF(0,1,1)*1*IF(1,1,1)),1)),0))/100)</f>
        <v>39.852500000000006</v>
      </c>
      <c r="CZ35">
        <f>(((S35+R35)*ROUND((FY35*IF((0=0),(1*IF(1,1,1)),1)),0))/100)</f>
        <v>18.038500000000003</v>
      </c>
      <c r="DC35" t="s">
        <v>3</v>
      </c>
      <c r="DD35" t="s">
        <v>3</v>
      </c>
      <c r="DE35" t="s">
        <v>12</v>
      </c>
      <c r="DF35" t="s">
        <v>12</v>
      </c>
      <c r="DG35" t="s">
        <v>13</v>
      </c>
      <c r="DH35" t="s">
        <v>3</v>
      </c>
      <c r="DI35" t="s">
        <v>13</v>
      </c>
      <c r="DJ35" t="s">
        <v>12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43</v>
      </c>
      <c r="DW35" t="s">
        <v>43</v>
      </c>
      <c r="DX35">
        <v>1000</v>
      </c>
      <c r="EE35">
        <v>39190870</v>
      </c>
      <c r="EF35">
        <v>2</v>
      </c>
      <c r="EG35" t="s">
        <v>31</v>
      </c>
      <c r="EH35">
        <v>0</v>
      </c>
      <c r="EI35" t="s">
        <v>3</v>
      </c>
      <c r="EJ35">
        <v>1</v>
      </c>
      <c r="EK35">
        <v>1001</v>
      </c>
      <c r="EL35" t="s">
        <v>45</v>
      </c>
      <c r="EM35" t="s">
        <v>46</v>
      </c>
      <c r="EO35" t="s">
        <v>3</v>
      </c>
      <c r="EQ35">
        <v>131072</v>
      </c>
      <c r="ER35">
        <v>2132.04</v>
      </c>
      <c r="ES35">
        <v>3.63</v>
      </c>
      <c r="ET35">
        <v>2087.77</v>
      </c>
      <c r="EU35">
        <v>246.11</v>
      </c>
      <c r="EV35">
        <v>40.64</v>
      </c>
      <c r="EW35">
        <v>6.4</v>
      </c>
      <c r="EX35">
        <v>18.559999999999999</v>
      </c>
      <c r="EY35">
        <v>0</v>
      </c>
      <c r="FQ35">
        <v>0</v>
      </c>
      <c r="FR35">
        <f t="shared" si="50"/>
        <v>0</v>
      </c>
      <c r="FS35">
        <v>0</v>
      </c>
      <c r="FU35" t="s">
        <v>34</v>
      </c>
      <c r="FX35">
        <v>95</v>
      </c>
      <c r="FY35">
        <v>42.5</v>
      </c>
      <c r="GA35" t="s">
        <v>3</v>
      </c>
      <c r="GD35">
        <v>1</v>
      </c>
      <c r="GF35">
        <v>986468063</v>
      </c>
      <c r="GG35">
        <v>2</v>
      </c>
      <c r="GH35">
        <v>0</v>
      </c>
      <c r="GI35">
        <v>0</v>
      </c>
      <c r="GJ35">
        <v>0</v>
      </c>
      <c r="GK35">
        <v>0</v>
      </c>
      <c r="GL35">
        <f t="shared" si="51"/>
        <v>0</v>
      </c>
      <c r="GM35">
        <f t="shared" si="52"/>
        <v>372.84</v>
      </c>
      <c r="GN35">
        <f t="shared" si="53"/>
        <v>372.84</v>
      </c>
      <c r="GO35">
        <f t="shared" si="54"/>
        <v>0</v>
      </c>
      <c r="GP35">
        <f t="shared" si="55"/>
        <v>0</v>
      </c>
      <c r="GR35">
        <v>0</v>
      </c>
      <c r="GS35">
        <v>0</v>
      </c>
      <c r="GT35">
        <v>0</v>
      </c>
      <c r="GU35" t="s">
        <v>3</v>
      </c>
      <c r="GV35">
        <f t="shared" si="56"/>
        <v>0</v>
      </c>
      <c r="GW35">
        <v>1</v>
      </c>
      <c r="GX35">
        <f t="shared" si="57"/>
        <v>0</v>
      </c>
      <c r="HA35">
        <v>0</v>
      </c>
      <c r="HB35">
        <v>0</v>
      </c>
      <c r="HC35">
        <f t="shared" si="58"/>
        <v>0</v>
      </c>
      <c r="IK35">
        <v>0</v>
      </c>
    </row>
    <row r="36" spans="1:245" x14ac:dyDescent="0.2">
      <c r="A36">
        <v>17</v>
      </c>
      <c r="B36">
        <v>1</v>
      </c>
      <c r="E36" t="s">
        <v>47</v>
      </c>
      <c r="F36" t="s">
        <v>48</v>
      </c>
      <c r="G36" t="s">
        <v>49</v>
      </c>
      <c r="H36" t="s">
        <v>50</v>
      </c>
      <c r="I36">
        <f>ROUND(281.2*0.1+I32*100*2.4,4)</f>
        <v>28.48</v>
      </c>
      <c r="J36">
        <v>0</v>
      </c>
      <c r="O36">
        <f t="shared" si="28"/>
        <v>100.25</v>
      </c>
      <c r="P36">
        <f t="shared" si="29"/>
        <v>0</v>
      </c>
      <c r="Q36">
        <f t="shared" si="30"/>
        <v>100.25</v>
      </c>
      <c r="R36">
        <f t="shared" si="31"/>
        <v>0</v>
      </c>
      <c r="S36">
        <f t="shared" si="32"/>
        <v>0</v>
      </c>
      <c r="T36">
        <f t="shared" si="33"/>
        <v>0</v>
      </c>
      <c r="U36">
        <f t="shared" si="34"/>
        <v>0</v>
      </c>
      <c r="V36">
        <f t="shared" si="35"/>
        <v>0</v>
      </c>
      <c r="W36">
        <f t="shared" si="36"/>
        <v>0</v>
      </c>
      <c r="X36">
        <f t="shared" si="37"/>
        <v>0</v>
      </c>
      <c r="Y36">
        <f t="shared" si="37"/>
        <v>0</v>
      </c>
      <c r="AA36">
        <v>39201625</v>
      </c>
      <c r="AB36">
        <f t="shared" si="38"/>
        <v>3.52</v>
      </c>
      <c r="AC36">
        <f t="shared" si="39"/>
        <v>0</v>
      </c>
      <c r="AD36">
        <f>ROUND(((ET36)+ROUND(((EU36)*1.6),2)),2)</f>
        <v>3.52</v>
      </c>
      <c r="AE36">
        <f>ROUND(((EU36)+ROUND(((EU36)*1.6),2)),2)</f>
        <v>0</v>
      </c>
      <c r="AF36">
        <f>ROUND(((EV36)+ROUND(((EV36)*1.6),2)),2)</f>
        <v>0</v>
      </c>
      <c r="AG36">
        <f t="shared" si="41"/>
        <v>0</v>
      </c>
      <c r="AH36">
        <f t="shared" ref="AH36:AI38" si="59">(EW36)</f>
        <v>0</v>
      </c>
      <c r="AI36">
        <f t="shared" si="59"/>
        <v>0</v>
      </c>
      <c r="AJ36">
        <f t="shared" si="43"/>
        <v>0</v>
      </c>
      <c r="AK36">
        <v>3.52</v>
      </c>
      <c r="AL36">
        <v>0</v>
      </c>
      <c r="AM36">
        <v>3.52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51</v>
      </c>
      <c r="BM36">
        <v>700004</v>
      </c>
      <c r="BN36">
        <v>0</v>
      </c>
      <c r="BO36" t="s">
        <v>3</v>
      </c>
      <c r="BP36">
        <v>0</v>
      </c>
      <c r="BQ36">
        <v>19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4"/>
        <v>100.25</v>
      </c>
      <c r="CQ36">
        <f t="shared" si="45"/>
        <v>0</v>
      </c>
      <c r="CR36">
        <f t="shared" si="46"/>
        <v>3.52</v>
      </c>
      <c r="CS36">
        <f t="shared" si="47"/>
        <v>0</v>
      </c>
      <c r="CT36">
        <f t="shared" si="48"/>
        <v>0</v>
      </c>
      <c r="CU36">
        <f t="shared" si="49"/>
        <v>0</v>
      </c>
      <c r="CV36">
        <f t="shared" si="49"/>
        <v>0</v>
      </c>
      <c r="CW36">
        <f t="shared" si="49"/>
        <v>0</v>
      </c>
      <c r="CX36">
        <f t="shared" si="49"/>
        <v>0</v>
      </c>
      <c r="CY36">
        <f>(((S36+R36)*ROUND(FX36,0))/100)</f>
        <v>0</v>
      </c>
      <c r="CZ36">
        <f>(((S36+R36)*ROUND(FY36,0))/100)</f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50</v>
      </c>
      <c r="DW36" t="s">
        <v>50</v>
      </c>
      <c r="DX36">
        <v>1</v>
      </c>
      <c r="EE36">
        <v>39191089</v>
      </c>
      <c r="EF36">
        <v>19</v>
      </c>
      <c r="EG36" t="s">
        <v>52</v>
      </c>
      <c r="EH36">
        <v>0</v>
      </c>
      <c r="EI36" t="s">
        <v>3</v>
      </c>
      <c r="EJ36">
        <v>1</v>
      </c>
      <c r="EK36">
        <v>700004</v>
      </c>
      <c r="EL36" t="s">
        <v>53</v>
      </c>
      <c r="EM36" t="s">
        <v>54</v>
      </c>
      <c r="EO36" t="s">
        <v>3</v>
      </c>
      <c r="EQ36">
        <v>131072</v>
      </c>
      <c r="ER36">
        <v>3.52</v>
      </c>
      <c r="ES36">
        <v>0</v>
      </c>
      <c r="ET36">
        <v>3.52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50"/>
        <v>0</v>
      </c>
      <c r="FS36">
        <v>0</v>
      </c>
      <c r="FX36">
        <v>0</v>
      </c>
      <c r="FY36">
        <v>0</v>
      </c>
      <c r="GA36" t="s">
        <v>3</v>
      </c>
      <c r="GD36">
        <v>1</v>
      </c>
      <c r="GF36">
        <v>1664035000</v>
      </c>
      <c r="GG36">
        <v>2</v>
      </c>
      <c r="GH36">
        <v>0</v>
      </c>
      <c r="GI36">
        <v>0</v>
      </c>
      <c r="GJ36">
        <v>0</v>
      </c>
      <c r="GK36">
        <v>0</v>
      </c>
      <c r="GL36">
        <f t="shared" si="51"/>
        <v>0</v>
      </c>
      <c r="GM36">
        <f t="shared" si="52"/>
        <v>100.25</v>
      </c>
      <c r="GN36">
        <f t="shared" si="53"/>
        <v>100.25</v>
      </c>
      <c r="GO36">
        <f t="shared" si="54"/>
        <v>0</v>
      </c>
      <c r="GP36">
        <f t="shared" si="55"/>
        <v>0</v>
      </c>
      <c r="GR36">
        <v>0</v>
      </c>
      <c r="GS36">
        <v>0</v>
      </c>
      <c r="GT36">
        <v>0</v>
      </c>
      <c r="GU36" t="s">
        <v>3</v>
      </c>
      <c r="GV36">
        <f t="shared" si="56"/>
        <v>0</v>
      </c>
      <c r="GW36">
        <v>1</v>
      </c>
      <c r="GX36">
        <f t="shared" si="57"/>
        <v>0</v>
      </c>
      <c r="HA36">
        <v>0</v>
      </c>
      <c r="HB36">
        <v>0</v>
      </c>
      <c r="HC36">
        <f t="shared" si="58"/>
        <v>0</v>
      </c>
      <c r="HD36">
        <f>GM36</f>
        <v>100.25</v>
      </c>
      <c r="IK36">
        <v>0</v>
      </c>
    </row>
    <row r="37" spans="1:245" x14ac:dyDescent="0.2">
      <c r="A37">
        <v>17</v>
      </c>
      <c r="B37">
        <v>1</v>
      </c>
      <c r="E37" t="s">
        <v>55</v>
      </c>
      <c r="F37" t="s">
        <v>56</v>
      </c>
      <c r="G37" t="s">
        <v>57</v>
      </c>
      <c r="H37" t="s">
        <v>50</v>
      </c>
      <c r="I37">
        <f>ROUND(((I33*100*0.08)-(920.39*0.06*1.26))*1.8+(I35*1000*1.5),4)</f>
        <v>184.8895</v>
      </c>
      <c r="J37">
        <v>0</v>
      </c>
      <c r="O37">
        <f t="shared" si="28"/>
        <v>1229.52</v>
      </c>
      <c r="P37">
        <f t="shared" si="29"/>
        <v>0</v>
      </c>
      <c r="Q37">
        <f t="shared" si="30"/>
        <v>1229.52</v>
      </c>
      <c r="R37">
        <f t="shared" si="31"/>
        <v>0</v>
      </c>
      <c r="S37">
        <f t="shared" si="32"/>
        <v>0</v>
      </c>
      <c r="T37">
        <f t="shared" si="33"/>
        <v>0</v>
      </c>
      <c r="U37">
        <f t="shared" si="34"/>
        <v>0</v>
      </c>
      <c r="V37">
        <f t="shared" si="35"/>
        <v>0</v>
      </c>
      <c r="W37">
        <f t="shared" si="36"/>
        <v>0</v>
      </c>
      <c r="X37">
        <f t="shared" si="37"/>
        <v>0</v>
      </c>
      <c r="Y37">
        <f t="shared" si="37"/>
        <v>0</v>
      </c>
      <c r="AA37">
        <v>39201625</v>
      </c>
      <c r="AB37">
        <f t="shared" si="38"/>
        <v>6.65</v>
      </c>
      <c r="AC37">
        <f t="shared" si="39"/>
        <v>0</v>
      </c>
      <c r="AD37">
        <f>ROUND(((ET37)+ROUND(((EU37)*1.85),2)),2)</f>
        <v>6.65</v>
      </c>
      <c r="AE37">
        <f>ROUND(((EU37)+ROUND(((EU37)*1.85),2)),2)</f>
        <v>0</v>
      </c>
      <c r="AF37">
        <f>ROUND(((EV37)+ROUND(((EV37)*1.85),2)),2)</f>
        <v>0</v>
      </c>
      <c r="AG37">
        <f t="shared" si="41"/>
        <v>0</v>
      </c>
      <c r="AH37">
        <f t="shared" si="59"/>
        <v>0</v>
      </c>
      <c r="AI37">
        <f t="shared" si="59"/>
        <v>0</v>
      </c>
      <c r="AJ37">
        <f t="shared" si="43"/>
        <v>0</v>
      </c>
      <c r="AK37">
        <v>6.65</v>
      </c>
      <c r="AL37">
        <v>0</v>
      </c>
      <c r="AM37">
        <v>6.65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58</v>
      </c>
      <c r="BM37">
        <v>700001</v>
      </c>
      <c r="BN37">
        <v>0</v>
      </c>
      <c r="BO37" t="s">
        <v>3</v>
      </c>
      <c r="BP37">
        <v>0</v>
      </c>
      <c r="BQ37">
        <v>10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4"/>
        <v>1229.52</v>
      </c>
      <c r="CQ37">
        <f t="shared" si="45"/>
        <v>0</v>
      </c>
      <c r="CR37">
        <f t="shared" si="46"/>
        <v>6.65</v>
      </c>
      <c r="CS37">
        <f t="shared" si="47"/>
        <v>0</v>
      </c>
      <c r="CT37">
        <f t="shared" si="48"/>
        <v>0</v>
      </c>
      <c r="CU37">
        <f t="shared" si="49"/>
        <v>0</v>
      </c>
      <c r="CV37">
        <f t="shared" si="49"/>
        <v>0</v>
      </c>
      <c r="CW37">
        <f t="shared" si="49"/>
        <v>0</v>
      </c>
      <c r="CX37">
        <f t="shared" si="49"/>
        <v>0</v>
      </c>
      <c r="CY37">
        <f>(((S37+R37)*ROUND(FX37,0))/100)</f>
        <v>0</v>
      </c>
      <c r="CZ37">
        <f>(((S37+R37)*ROUND(FY37,0))/100)</f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50</v>
      </c>
      <c r="DW37" t="s">
        <v>50</v>
      </c>
      <c r="DX37">
        <v>1</v>
      </c>
      <c r="EE37">
        <v>39191086</v>
      </c>
      <c r="EF37">
        <v>10</v>
      </c>
      <c r="EG37" t="s">
        <v>59</v>
      </c>
      <c r="EH37">
        <v>0</v>
      </c>
      <c r="EI37" t="s">
        <v>3</v>
      </c>
      <c r="EJ37">
        <v>1</v>
      </c>
      <c r="EK37">
        <v>700001</v>
      </c>
      <c r="EL37" t="s">
        <v>60</v>
      </c>
      <c r="EM37" t="s">
        <v>61</v>
      </c>
      <c r="EO37" t="s">
        <v>3</v>
      </c>
      <c r="EQ37">
        <v>131072</v>
      </c>
      <c r="ER37">
        <v>6.65</v>
      </c>
      <c r="ES37">
        <v>0</v>
      </c>
      <c r="ET37">
        <v>6.65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50"/>
        <v>0</v>
      </c>
      <c r="FS37">
        <v>0</v>
      </c>
      <c r="FX37">
        <v>0</v>
      </c>
      <c r="FY37">
        <v>0</v>
      </c>
      <c r="GA37" t="s">
        <v>3</v>
      </c>
      <c r="GD37">
        <v>1</v>
      </c>
      <c r="GF37">
        <v>-811322024</v>
      </c>
      <c r="GG37">
        <v>2</v>
      </c>
      <c r="GH37">
        <v>0</v>
      </c>
      <c r="GI37">
        <v>0</v>
      </c>
      <c r="GJ37">
        <v>0</v>
      </c>
      <c r="GK37">
        <v>0</v>
      </c>
      <c r="GL37">
        <f t="shared" si="51"/>
        <v>0</v>
      </c>
      <c r="GM37">
        <f t="shared" si="52"/>
        <v>1229.52</v>
      </c>
      <c r="GN37">
        <f t="shared" si="53"/>
        <v>1229.52</v>
      </c>
      <c r="GO37">
        <f t="shared" si="54"/>
        <v>0</v>
      </c>
      <c r="GP37">
        <f t="shared" si="55"/>
        <v>0</v>
      </c>
      <c r="GR37">
        <v>0</v>
      </c>
      <c r="GS37">
        <v>0</v>
      </c>
      <c r="GT37">
        <v>0</v>
      </c>
      <c r="GU37" t="s">
        <v>3</v>
      </c>
      <c r="GV37">
        <f t="shared" si="56"/>
        <v>0</v>
      </c>
      <c r="GW37">
        <v>1</v>
      </c>
      <c r="GX37">
        <f t="shared" si="57"/>
        <v>0</v>
      </c>
      <c r="HA37">
        <v>0</v>
      </c>
      <c r="HB37">
        <v>0</v>
      </c>
      <c r="HC37">
        <f t="shared" si="58"/>
        <v>0</v>
      </c>
      <c r="HD37">
        <f>GM37</f>
        <v>1229.52</v>
      </c>
      <c r="IK37">
        <v>0</v>
      </c>
    </row>
    <row r="38" spans="1:245" x14ac:dyDescent="0.2">
      <c r="A38">
        <v>17</v>
      </c>
      <c r="B38">
        <v>1</v>
      </c>
      <c r="E38" t="s">
        <v>62</v>
      </c>
      <c r="F38" t="s">
        <v>63</v>
      </c>
      <c r="G38" t="s">
        <v>64</v>
      </c>
      <c r="H38" t="s">
        <v>50</v>
      </c>
      <c r="I38">
        <f>ROUND(I36,4)</f>
        <v>28.48</v>
      </c>
      <c r="J38">
        <v>0</v>
      </c>
      <c r="O38">
        <f t="shared" si="28"/>
        <v>545.96</v>
      </c>
      <c r="P38">
        <f t="shared" si="29"/>
        <v>0</v>
      </c>
      <c r="Q38">
        <f t="shared" si="30"/>
        <v>545.96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7"/>
        <v>0</v>
      </c>
      <c r="AA38">
        <v>39201625</v>
      </c>
      <c r="AB38">
        <f t="shared" si="38"/>
        <v>19.170000000000002</v>
      </c>
      <c r="AC38">
        <f t="shared" si="39"/>
        <v>0</v>
      </c>
      <c r="AD38">
        <f>ROUND(((ET38)+ROUND(((EU38)*1.85),2)),2)</f>
        <v>19.170000000000002</v>
      </c>
      <c r="AE38">
        <f>ROUND(((EU38)+ROUND(((EU38)*1.85),2)),2)</f>
        <v>0</v>
      </c>
      <c r="AF38">
        <f>ROUND(((EV38)+ROUND(((EV38)*1.85),2)),2)</f>
        <v>0</v>
      </c>
      <c r="AG38">
        <f t="shared" si="41"/>
        <v>0</v>
      </c>
      <c r="AH38">
        <f t="shared" si="59"/>
        <v>0</v>
      </c>
      <c r="AI38">
        <f t="shared" si="59"/>
        <v>0</v>
      </c>
      <c r="AJ38">
        <f t="shared" si="43"/>
        <v>0</v>
      </c>
      <c r="AK38">
        <v>19.170000000000002</v>
      </c>
      <c r="AL38">
        <v>0</v>
      </c>
      <c r="AM38">
        <v>19.170000000000002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65</v>
      </c>
      <c r="BM38">
        <v>700001</v>
      </c>
      <c r="BN38">
        <v>0</v>
      </c>
      <c r="BO38" t="s">
        <v>3</v>
      </c>
      <c r="BP38">
        <v>0</v>
      </c>
      <c r="BQ38">
        <v>10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4"/>
        <v>545.96</v>
      </c>
      <c r="CQ38">
        <f t="shared" si="45"/>
        <v>0</v>
      </c>
      <c r="CR38">
        <f t="shared" si="46"/>
        <v>19.170000000000002</v>
      </c>
      <c r="CS38">
        <f t="shared" si="47"/>
        <v>0</v>
      </c>
      <c r="CT38">
        <f t="shared" si="48"/>
        <v>0</v>
      </c>
      <c r="CU38">
        <f t="shared" si="49"/>
        <v>0</v>
      </c>
      <c r="CV38">
        <f t="shared" si="49"/>
        <v>0</v>
      </c>
      <c r="CW38">
        <f t="shared" si="49"/>
        <v>0</v>
      </c>
      <c r="CX38">
        <f t="shared" si="49"/>
        <v>0</v>
      </c>
      <c r="CY38">
        <f>(((S38+R38)*ROUND(FX38,0))/100)</f>
        <v>0</v>
      </c>
      <c r="CZ38">
        <f>(((S38+R38)*ROUND(FY38,0))/100)</f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50</v>
      </c>
      <c r="DW38" t="s">
        <v>50</v>
      </c>
      <c r="DX38">
        <v>1</v>
      </c>
      <c r="EE38">
        <v>39191086</v>
      </c>
      <c r="EF38">
        <v>10</v>
      </c>
      <c r="EG38" t="s">
        <v>59</v>
      </c>
      <c r="EH38">
        <v>0</v>
      </c>
      <c r="EI38" t="s">
        <v>3</v>
      </c>
      <c r="EJ38">
        <v>1</v>
      </c>
      <c r="EK38">
        <v>700001</v>
      </c>
      <c r="EL38" t="s">
        <v>60</v>
      </c>
      <c r="EM38" t="s">
        <v>61</v>
      </c>
      <c r="EO38" t="s">
        <v>3</v>
      </c>
      <c r="EQ38">
        <v>131072</v>
      </c>
      <c r="ER38">
        <v>19.170000000000002</v>
      </c>
      <c r="ES38">
        <v>0</v>
      </c>
      <c r="ET38">
        <v>19.170000000000002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50"/>
        <v>0</v>
      </c>
      <c r="FS38">
        <v>0</v>
      </c>
      <c r="FX38">
        <v>0</v>
      </c>
      <c r="FY38">
        <v>0</v>
      </c>
      <c r="GA38" t="s">
        <v>3</v>
      </c>
      <c r="GD38">
        <v>1</v>
      </c>
      <c r="GF38">
        <v>-776111215</v>
      </c>
      <c r="GG38">
        <v>2</v>
      </c>
      <c r="GH38">
        <v>0</v>
      </c>
      <c r="GI38">
        <v>0</v>
      </c>
      <c r="GJ38">
        <v>0</v>
      </c>
      <c r="GK38">
        <v>0</v>
      </c>
      <c r="GL38">
        <f t="shared" si="51"/>
        <v>0</v>
      </c>
      <c r="GM38">
        <f t="shared" si="52"/>
        <v>545.96</v>
      </c>
      <c r="GN38">
        <f t="shared" si="53"/>
        <v>545.96</v>
      </c>
      <c r="GO38">
        <f t="shared" si="54"/>
        <v>0</v>
      </c>
      <c r="GP38">
        <f t="shared" si="55"/>
        <v>0</v>
      </c>
      <c r="GR38">
        <v>0</v>
      </c>
      <c r="GS38">
        <v>0</v>
      </c>
      <c r="GT38">
        <v>0</v>
      </c>
      <c r="GU38" t="s">
        <v>3</v>
      </c>
      <c r="GV38">
        <f t="shared" si="56"/>
        <v>0</v>
      </c>
      <c r="GW38">
        <v>1</v>
      </c>
      <c r="GX38">
        <f t="shared" si="57"/>
        <v>0</v>
      </c>
      <c r="HA38">
        <v>0</v>
      </c>
      <c r="HB38">
        <v>0</v>
      </c>
      <c r="HC38">
        <f t="shared" si="58"/>
        <v>0</v>
      </c>
      <c r="HD38">
        <f>GM38</f>
        <v>545.96</v>
      </c>
      <c r="IK38">
        <v>0</v>
      </c>
    </row>
    <row r="40" spans="1:245" x14ac:dyDescent="0.2">
      <c r="A40" s="2">
        <v>51</v>
      </c>
      <c r="B40" s="2">
        <f>B28</f>
        <v>1</v>
      </c>
      <c r="C40" s="2">
        <f>A28</f>
        <v>5</v>
      </c>
      <c r="D40" s="2">
        <f>ROW(A28)</f>
        <v>28</v>
      </c>
      <c r="E40" s="2"/>
      <c r="F40" s="2" t="str">
        <f>IF(F28&lt;&gt;"",F28,"")</f>
        <v>Новый подраздел</v>
      </c>
      <c r="G40" s="2" t="str">
        <f>IF(G28&lt;&gt;"",G28,"")</f>
        <v>Расчистка территории</v>
      </c>
      <c r="H40" s="2">
        <v>0</v>
      </c>
      <c r="I40" s="2"/>
      <c r="J40" s="2"/>
      <c r="K40" s="2"/>
      <c r="L40" s="2"/>
      <c r="M40" s="2"/>
      <c r="N40" s="2"/>
      <c r="O40" s="2">
        <f t="shared" ref="O40:T40" si="60">ROUND(AB40,2)</f>
        <v>12607.97</v>
      </c>
      <c r="P40" s="2">
        <f t="shared" si="60"/>
        <v>4.1100000000000003</v>
      </c>
      <c r="Q40" s="2">
        <f t="shared" si="60"/>
        <v>11221.57</v>
      </c>
      <c r="R40" s="2">
        <f t="shared" si="60"/>
        <v>400.81</v>
      </c>
      <c r="S40" s="2">
        <f t="shared" si="60"/>
        <v>1382.29</v>
      </c>
      <c r="T40" s="2">
        <f t="shared" si="60"/>
        <v>0</v>
      </c>
      <c r="U40" s="2">
        <f>AH40</f>
        <v>196.80076199999999</v>
      </c>
      <c r="V40" s="2">
        <f>AI40</f>
        <v>37.580503999999998</v>
      </c>
      <c r="W40" s="2">
        <f>ROUND(AJ40,2)</f>
        <v>0</v>
      </c>
      <c r="X40" s="2">
        <f>ROUND(AK40,2)</f>
        <v>1899.85</v>
      </c>
      <c r="Y40" s="2">
        <f>ROUND(AL40,2)</f>
        <v>1089.93</v>
      </c>
      <c r="Z40" s="2"/>
      <c r="AA40" s="2"/>
      <c r="AB40" s="2">
        <f>ROUND(SUMIF(AA32:AA38,"=39201625",O32:O38),2)</f>
        <v>12607.97</v>
      </c>
      <c r="AC40" s="2">
        <f>ROUND(SUMIF(AA32:AA38,"=39201625",P32:P38),2)</f>
        <v>4.1100000000000003</v>
      </c>
      <c r="AD40" s="2">
        <f>ROUND(SUMIF(AA32:AA38,"=39201625",Q32:Q38),2)</f>
        <v>11221.57</v>
      </c>
      <c r="AE40" s="2">
        <f>ROUND(SUMIF(AA32:AA38,"=39201625",R32:R38),2)</f>
        <v>400.81</v>
      </c>
      <c r="AF40" s="2">
        <f>ROUND(SUMIF(AA32:AA38,"=39201625",S32:S38),2)</f>
        <v>1382.29</v>
      </c>
      <c r="AG40" s="2">
        <f>ROUND(SUMIF(AA32:AA38,"=39201625",T32:T38),2)</f>
        <v>0</v>
      </c>
      <c r="AH40" s="2">
        <f>SUMIF(AA32:AA38,"=39201625",U32:U38)</f>
        <v>196.80076199999999</v>
      </c>
      <c r="AI40" s="2">
        <f>SUMIF(AA32:AA38,"=39201625",V32:V38)</f>
        <v>37.580503999999998</v>
      </c>
      <c r="AJ40" s="2">
        <f>ROUND(SUMIF(AA32:AA38,"=39201625",W32:W38),2)</f>
        <v>0</v>
      </c>
      <c r="AK40" s="2">
        <f>ROUND(SUMIF(AA32:AA38,"=39201625",X32:X38),2)</f>
        <v>1899.85</v>
      </c>
      <c r="AL40" s="2">
        <f>ROUND(SUMIF(AA32:AA38,"=39201625",Y32:Y38),2)</f>
        <v>1089.93</v>
      </c>
      <c r="AM40" s="2"/>
      <c r="AN40" s="2"/>
      <c r="AO40" s="2">
        <f t="shared" ref="AO40:BD40" si="61">ROUND(BX40,2)</f>
        <v>0</v>
      </c>
      <c r="AP40" s="2">
        <f t="shared" si="61"/>
        <v>0</v>
      </c>
      <c r="AQ40" s="2">
        <f t="shared" si="61"/>
        <v>0</v>
      </c>
      <c r="AR40" s="2">
        <f t="shared" si="61"/>
        <v>15597.75</v>
      </c>
      <c r="AS40" s="2">
        <f t="shared" si="61"/>
        <v>15597.75</v>
      </c>
      <c r="AT40" s="2">
        <f t="shared" si="61"/>
        <v>0</v>
      </c>
      <c r="AU40" s="2">
        <f t="shared" si="61"/>
        <v>0</v>
      </c>
      <c r="AV40" s="2">
        <f t="shared" si="61"/>
        <v>4.1100000000000003</v>
      </c>
      <c r="AW40" s="2">
        <f t="shared" si="61"/>
        <v>4.1100000000000003</v>
      </c>
      <c r="AX40" s="2">
        <f t="shared" si="61"/>
        <v>0</v>
      </c>
      <c r="AY40" s="2">
        <f t="shared" si="61"/>
        <v>4.1100000000000003</v>
      </c>
      <c r="AZ40" s="2">
        <f t="shared" si="61"/>
        <v>0</v>
      </c>
      <c r="BA40" s="2">
        <f t="shared" si="61"/>
        <v>0</v>
      </c>
      <c r="BB40" s="2">
        <f t="shared" si="61"/>
        <v>0</v>
      </c>
      <c r="BC40" s="2">
        <f t="shared" si="61"/>
        <v>0</v>
      </c>
      <c r="BD40" s="2">
        <f t="shared" si="61"/>
        <v>1875.73</v>
      </c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>
        <f>ROUND(SUMIF(AA32:AA38,"=39201625",FQ32:FQ38),2)</f>
        <v>0</v>
      </c>
      <c r="BY40" s="2">
        <f>ROUND(SUMIF(AA32:AA38,"=39201625",FR32:FR38),2)</f>
        <v>0</v>
      </c>
      <c r="BZ40" s="2">
        <f>ROUND(SUMIF(AA32:AA38,"=39201625",GL32:GL38),2)</f>
        <v>0</v>
      </c>
      <c r="CA40" s="2">
        <f>ROUND(SUMIF(AA32:AA38,"=39201625",GM32:GM38),2)</f>
        <v>15597.75</v>
      </c>
      <c r="CB40" s="2">
        <f>ROUND(SUMIF(AA32:AA38,"=39201625",GN32:GN38),2)</f>
        <v>15597.75</v>
      </c>
      <c r="CC40" s="2">
        <f>ROUND(SUMIF(AA32:AA38,"=39201625",GO32:GO38),2)</f>
        <v>0</v>
      </c>
      <c r="CD40" s="2">
        <f>ROUND(SUMIF(AA32:AA38,"=39201625",GP32:GP38),2)</f>
        <v>0</v>
      </c>
      <c r="CE40" s="2">
        <f>AC40-BX40</f>
        <v>4.1100000000000003</v>
      </c>
      <c r="CF40" s="2">
        <f>AC40-BY40</f>
        <v>4.1100000000000003</v>
      </c>
      <c r="CG40" s="2">
        <f>BX40-BZ40</f>
        <v>0</v>
      </c>
      <c r="CH40" s="2">
        <f>AC40-BX40-BY40+BZ40</f>
        <v>4.1100000000000003</v>
      </c>
      <c r="CI40" s="2">
        <f>BY40-BZ40</f>
        <v>0</v>
      </c>
      <c r="CJ40" s="2">
        <f>ROUND(SUMIF(AA32:AA38,"=39201625",GX32:GX38),2)</f>
        <v>0</v>
      </c>
      <c r="CK40" s="2">
        <f>ROUND(SUMIF(AA32:AA38,"=39201625",GY32:GY38),2)</f>
        <v>0</v>
      </c>
      <c r="CL40" s="2">
        <f>ROUND(SUMIF(AA32:AA38,"=39201625",GZ32:GZ38),2)</f>
        <v>0</v>
      </c>
      <c r="CM40" s="2">
        <f>ROUND(SUMIF(AA32:AA38,"=39201625",HD32:HD38),2)</f>
        <v>1875.73</v>
      </c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>
        <v>0</v>
      </c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201</v>
      </c>
      <c r="F42" s="4">
        <f>ROUND(Source!O40,O42)</f>
        <v>12607.97</v>
      </c>
      <c r="G42" s="4" t="s">
        <v>66</v>
      </c>
      <c r="H42" s="4" t="s">
        <v>67</v>
      </c>
      <c r="I42" s="4"/>
      <c r="J42" s="4"/>
      <c r="K42" s="4">
        <v>201</v>
      </c>
      <c r="L42" s="4">
        <v>1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202</v>
      </c>
      <c r="F43" s="4">
        <f>ROUND(Source!P40,O43)</f>
        <v>4.1100000000000003</v>
      </c>
      <c r="G43" s="4" t="s">
        <v>68</v>
      </c>
      <c r="H43" s="4" t="s">
        <v>69</v>
      </c>
      <c r="I43" s="4"/>
      <c r="J43" s="4"/>
      <c r="K43" s="4">
        <v>202</v>
      </c>
      <c r="L43" s="4">
        <v>2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222</v>
      </c>
      <c r="F44" s="4">
        <f>ROUND(Source!AO40,O44)</f>
        <v>0</v>
      </c>
      <c r="G44" s="4" t="s">
        <v>70</v>
      </c>
      <c r="H44" s="4" t="s">
        <v>71</v>
      </c>
      <c r="I44" s="4"/>
      <c r="J44" s="4"/>
      <c r="K44" s="4">
        <v>222</v>
      </c>
      <c r="L44" s="4">
        <v>3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225</v>
      </c>
      <c r="F45" s="4">
        <f>ROUND(Source!AV40,O45)</f>
        <v>4.1100000000000003</v>
      </c>
      <c r="G45" s="4" t="s">
        <v>72</v>
      </c>
      <c r="H45" s="4" t="s">
        <v>73</v>
      </c>
      <c r="I45" s="4"/>
      <c r="J45" s="4"/>
      <c r="K45" s="4">
        <v>225</v>
      </c>
      <c r="L45" s="4">
        <v>4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226</v>
      </c>
      <c r="F46" s="4">
        <f>ROUND(Source!AW40,O46)</f>
        <v>4.1100000000000003</v>
      </c>
      <c r="G46" s="4" t="s">
        <v>74</v>
      </c>
      <c r="H46" s="4" t="s">
        <v>75</v>
      </c>
      <c r="I46" s="4"/>
      <c r="J46" s="4"/>
      <c r="K46" s="4">
        <v>226</v>
      </c>
      <c r="L46" s="4">
        <v>5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227</v>
      </c>
      <c r="F47" s="4">
        <f>ROUND(Source!AX40,O47)</f>
        <v>0</v>
      </c>
      <c r="G47" s="4" t="s">
        <v>76</v>
      </c>
      <c r="H47" s="4" t="s">
        <v>77</v>
      </c>
      <c r="I47" s="4"/>
      <c r="J47" s="4"/>
      <c r="K47" s="4">
        <v>227</v>
      </c>
      <c r="L47" s="4">
        <v>6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228</v>
      </c>
      <c r="F48" s="4">
        <f>ROUND(Source!AY40,O48)</f>
        <v>4.1100000000000003</v>
      </c>
      <c r="G48" s="4" t="s">
        <v>78</v>
      </c>
      <c r="H48" s="4" t="s">
        <v>79</v>
      </c>
      <c r="I48" s="4"/>
      <c r="J48" s="4"/>
      <c r="K48" s="4">
        <v>228</v>
      </c>
      <c r="L48" s="4">
        <v>7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216</v>
      </c>
      <c r="F49" s="4">
        <f>ROUND(Source!AP40,O49)</f>
        <v>0</v>
      </c>
      <c r="G49" s="4" t="s">
        <v>80</v>
      </c>
      <c r="H49" s="4" t="s">
        <v>81</v>
      </c>
      <c r="I49" s="4"/>
      <c r="J49" s="4"/>
      <c r="K49" s="4">
        <v>216</v>
      </c>
      <c r="L49" s="4">
        <v>8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223</v>
      </c>
      <c r="F50" s="4">
        <f>ROUND(Source!AQ40,O50)</f>
        <v>0</v>
      </c>
      <c r="G50" s="4" t="s">
        <v>82</v>
      </c>
      <c r="H50" s="4" t="s">
        <v>83</v>
      </c>
      <c r="I50" s="4"/>
      <c r="J50" s="4"/>
      <c r="K50" s="4">
        <v>223</v>
      </c>
      <c r="L50" s="4">
        <v>9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229</v>
      </c>
      <c r="F51" s="4">
        <f>ROUND(Source!AZ40,O51)</f>
        <v>0</v>
      </c>
      <c r="G51" s="4" t="s">
        <v>84</v>
      </c>
      <c r="H51" s="4" t="s">
        <v>85</v>
      </c>
      <c r="I51" s="4"/>
      <c r="J51" s="4"/>
      <c r="K51" s="4">
        <v>229</v>
      </c>
      <c r="L51" s="4">
        <v>10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203</v>
      </c>
      <c r="F52" s="4">
        <f>ROUND(Source!Q40,O52)</f>
        <v>11221.57</v>
      </c>
      <c r="G52" s="4" t="s">
        <v>86</v>
      </c>
      <c r="H52" s="4" t="s">
        <v>87</v>
      </c>
      <c r="I52" s="4"/>
      <c r="J52" s="4"/>
      <c r="K52" s="4">
        <v>203</v>
      </c>
      <c r="L52" s="4">
        <v>11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231</v>
      </c>
      <c r="F53" s="4">
        <f>ROUND(Source!BB40,O53)</f>
        <v>0</v>
      </c>
      <c r="G53" s="4" t="s">
        <v>88</v>
      </c>
      <c r="H53" s="4" t="s">
        <v>89</v>
      </c>
      <c r="I53" s="4"/>
      <c r="J53" s="4"/>
      <c r="K53" s="4">
        <v>231</v>
      </c>
      <c r="L53" s="4">
        <v>12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204</v>
      </c>
      <c r="F54" s="4">
        <f>ROUND(Source!R40,O54)</f>
        <v>400.81</v>
      </c>
      <c r="G54" s="4" t="s">
        <v>90</v>
      </c>
      <c r="H54" s="4" t="s">
        <v>91</v>
      </c>
      <c r="I54" s="4"/>
      <c r="J54" s="4"/>
      <c r="K54" s="4">
        <v>204</v>
      </c>
      <c r="L54" s="4">
        <v>13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205</v>
      </c>
      <c r="F55" s="4">
        <f>ROUND(Source!S40,O55)</f>
        <v>1382.29</v>
      </c>
      <c r="G55" s="4" t="s">
        <v>92</v>
      </c>
      <c r="H55" s="4" t="s">
        <v>93</v>
      </c>
      <c r="I55" s="4"/>
      <c r="J55" s="4"/>
      <c r="K55" s="4">
        <v>205</v>
      </c>
      <c r="L55" s="4">
        <v>14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232</v>
      </c>
      <c r="F56" s="4">
        <f>ROUND(Source!BC40,O56)</f>
        <v>0</v>
      </c>
      <c r="G56" s="4" t="s">
        <v>94</v>
      </c>
      <c r="H56" s="4" t="s">
        <v>95</v>
      </c>
      <c r="I56" s="4"/>
      <c r="J56" s="4"/>
      <c r="K56" s="4">
        <v>232</v>
      </c>
      <c r="L56" s="4">
        <v>15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214</v>
      </c>
      <c r="F57" s="4">
        <f>ROUND(Source!AS40,O57)</f>
        <v>15597.75</v>
      </c>
      <c r="G57" s="4" t="s">
        <v>96</v>
      </c>
      <c r="H57" s="4" t="s">
        <v>97</v>
      </c>
      <c r="I57" s="4"/>
      <c r="J57" s="4"/>
      <c r="K57" s="4">
        <v>214</v>
      </c>
      <c r="L57" s="4">
        <v>16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215</v>
      </c>
      <c r="F58" s="4">
        <f>ROUND(Source!AT40,O58)</f>
        <v>0</v>
      </c>
      <c r="G58" s="4" t="s">
        <v>98</v>
      </c>
      <c r="H58" s="4" t="s">
        <v>99</v>
      </c>
      <c r="I58" s="4"/>
      <c r="J58" s="4"/>
      <c r="K58" s="4">
        <v>215</v>
      </c>
      <c r="L58" s="4">
        <v>17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217</v>
      </c>
      <c r="F59" s="4">
        <f>ROUND(Source!AU40,O59)</f>
        <v>0</v>
      </c>
      <c r="G59" s="4" t="s">
        <v>100</v>
      </c>
      <c r="H59" s="4" t="s">
        <v>101</v>
      </c>
      <c r="I59" s="4"/>
      <c r="J59" s="4"/>
      <c r="K59" s="4">
        <v>217</v>
      </c>
      <c r="L59" s="4">
        <v>18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230</v>
      </c>
      <c r="F60" s="4">
        <f>ROUND(Source!BA40,O60)</f>
        <v>0</v>
      </c>
      <c r="G60" s="4" t="s">
        <v>102</v>
      </c>
      <c r="H60" s="4" t="s">
        <v>103</v>
      </c>
      <c r="I60" s="4"/>
      <c r="J60" s="4"/>
      <c r="K60" s="4">
        <v>230</v>
      </c>
      <c r="L60" s="4">
        <v>19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206</v>
      </c>
      <c r="F61" s="4">
        <f>ROUND(Source!T40,O61)</f>
        <v>0</v>
      </c>
      <c r="G61" s="4" t="s">
        <v>104</v>
      </c>
      <c r="H61" s="4" t="s">
        <v>105</v>
      </c>
      <c r="I61" s="4"/>
      <c r="J61" s="4"/>
      <c r="K61" s="4">
        <v>206</v>
      </c>
      <c r="L61" s="4">
        <v>20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207</v>
      </c>
      <c r="F62" s="4">
        <f>Source!U40</f>
        <v>196.80076199999999</v>
      </c>
      <c r="G62" s="4" t="s">
        <v>106</v>
      </c>
      <c r="H62" s="4" t="s">
        <v>107</v>
      </c>
      <c r="I62" s="4"/>
      <c r="J62" s="4"/>
      <c r="K62" s="4">
        <v>207</v>
      </c>
      <c r="L62" s="4">
        <v>21</v>
      </c>
      <c r="M62" s="4">
        <v>3</v>
      </c>
      <c r="N62" s="4" t="s">
        <v>3</v>
      </c>
      <c r="O62" s="4">
        <v>-1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208</v>
      </c>
      <c r="F63" s="4">
        <f>Source!V40</f>
        <v>37.580503999999998</v>
      </c>
      <c r="G63" s="4" t="s">
        <v>108</v>
      </c>
      <c r="H63" s="4" t="s">
        <v>109</v>
      </c>
      <c r="I63" s="4"/>
      <c r="J63" s="4"/>
      <c r="K63" s="4">
        <v>208</v>
      </c>
      <c r="L63" s="4">
        <v>22</v>
      </c>
      <c r="M63" s="4">
        <v>3</v>
      </c>
      <c r="N63" s="4" t="s">
        <v>3</v>
      </c>
      <c r="O63" s="4">
        <v>-1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209</v>
      </c>
      <c r="F64" s="4">
        <f>ROUND(Source!W40,O64)</f>
        <v>0</v>
      </c>
      <c r="G64" s="4" t="s">
        <v>110</v>
      </c>
      <c r="H64" s="4" t="s">
        <v>111</v>
      </c>
      <c r="I64" s="4"/>
      <c r="J64" s="4"/>
      <c r="K64" s="4">
        <v>209</v>
      </c>
      <c r="L64" s="4">
        <v>23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233</v>
      </c>
      <c r="F65" s="4">
        <f>ROUND(Source!BD40,O65)</f>
        <v>1875.73</v>
      </c>
      <c r="G65" s="4" t="s">
        <v>112</v>
      </c>
      <c r="H65" s="4" t="s">
        <v>113</v>
      </c>
      <c r="I65" s="4"/>
      <c r="J65" s="4"/>
      <c r="K65" s="4">
        <v>233</v>
      </c>
      <c r="L65" s="4">
        <v>24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210</v>
      </c>
      <c r="F66" s="4">
        <f>ROUND(Source!X40,O66)</f>
        <v>1899.85</v>
      </c>
      <c r="G66" s="4" t="s">
        <v>114</v>
      </c>
      <c r="H66" s="4" t="s">
        <v>115</v>
      </c>
      <c r="I66" s="4"/>
      <c r="J66" s="4"/>
      <c r="K66" s="4">
        <v>210</v>
      </c>
      <c r="L66" s="4">
        <v>25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211</v>
      </c>
      <c r="F67" s="4">
        <f>ROUND(Source!Y40,O67)</f>
        <v>1089.93</v>
      </c>
      <c r="G67" s="4" t="s">
        <v>116</v>
      </c>
      <c r="H67" s="4" t="s">
        <v>117</v>
      </c>
      <c r="I67" s="4"/>
      <c r="J67" s="4"/>
      <c r="K67" s="4">
        <v>211</v>
      </c>
      <c r="L67" s="4">
        <v>26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224</v>
      </c>
      <c r="F68" s="4">
        <f>ROUND(Source!AR40,O68)</f>
        <v>15597.75</v>
      </c>
      <c r="G68" s="4" t="s">
        <v>118</v>
      </c>
      <c r="H68" s="4" t="s">
        <v>119</v>
      </c>
      <c r="I68" s="4"/>
      <c r="J68" s="4"/>
      <c r="K68" s="4">
        <v>224</v>
      </c>
      <c r="L68" s="4">
        <v>27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70" spans="1:206" x14ac:dyDescent="0.2">
      <c r="A70" s="1">
        <v>5</v>
      </c>
      <c r="B70" s="1">
        <v>1</v>
      </c>
      <c r="C70" s="1"/>
      <c r="D70" s="1">
        <f>ROW(A74)</f>
        <v>74</v>
      </c>
      <c r="E70" s="1"/>
      <c r="F70" s="1" t="s">
        <v>16</v>
      </c>
      <c r="G70" s="1" t="s">
        <v>120</v>
      </c>
      <c r="H70" s="1" t="s">
        <v>3</v>
      </c>
      <c r="I70" s="1">
        <v>0</v>
      </c>
      <c r="J70" s="1"/>
      <c r="K70" s="1">
        <v>-1</v>
      </c>
      <c r="L70" s="1"/>
      <c r="M70" s="1"/>
      <c r="N70" s="1"/>
      <c r="O70" s="1"/>
      <c r="P70" s="1"/>
      <c r="Q70" s="1"/>
      <c r="R70" s="1"/>
      <c r="S70" s="1"/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12</v>
      </c>
      <c r="BE70" s="1" t="s">
        <v>12</v>
      </c>
      <c r="BF70" s="1" t="s">
        <v>13</v>
      </c>
      <c r="BG70" s="1" t="s">
        <v>3</v>
      </c>
      <c r="BH70" s="1" t="s">
        <v>13</v>
      </c>
      <c r="BI70" s="1" t="s">
        <v>12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12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06" x14ac:dyDescent="0.2">
      <c r="A72" s="2">
        <v>52</v>
      </c>
      <c r="B72" s="2">
        <f t="shared" ref="B72:G72" si="62">B74</f>
        <v>1</v>
      </c>
      <c r="C72" s="2">
        <f t="shared" si="62"/>
        <v>5</v>
      </c>
      <c r="D72" s="2">
        <f t="shared" si="62"/>
        <v>70</v>
      </c>
      <c r="E72" s="2">
        <f t="shared" si="62"/>
        <v>0</v>
      </c>
      <c r="F72" s="2" t="str">
        <f t="shared" si="62"/>
        <v>Новый подраздел</v>
      </c>
      <c r="G72" s="2" t="str">
        <f t="shared" si="62"/>
        <v>Дворовой проезд</v>
      </c>
      <c r="H72" s="2"/>
      <c r="I72" s="2"/>
      <c r="J72" s="2"/>
      <c r="K72" s="2"/>
      <c r="L72" s="2"/>
      <c r="M72" s="2"/>
      <c r="N72" s="2"/>
      <c r="O72" s="2">
        <f t="shared" ref="O72:AT72" si="63">O74</f>
        <v>0</v>
      </c>
      <c r="P72" s="2">
        <f t="shared" si="63"/>
        <v>0</v>
      </c>
      <c r="Q72" s="2">
        <f t="shared" si="63"/>
        <v>0</v>
      </c>
      <c r="R72" s="2">
        <f t="shared" si="63"/>
        <v>0</v>
      </c>
      <c r="S72" s="2">
        <f t="shared" si="63"/>
        <v>0</v>
      </c>
      <c r="T72" s="2">
        <f t="shared" si="63"/>
        <v>0</v>
      </c>
      <c r="U72" s="2">
        <f t="shared" si="63"/>
        <v>0</v>
      </c>
      <c r="V72" s="2">
        <f t="shared" si="63"/>
        <v>0</v>
      </c>
      <c r="W72" s="2">
        <f t="shared" si="63"/>
        <v>0</v>
      </c>
      <c r="X72" s="2">
        <f t="shared" si="63"/>
        <v>0</v>
      </c>
      <c r="Y72" s="2">
        <f t="shared" si="63"/>
        <v>0</v>
      </c>
      <c r="Z72" s="2">
        <f t="shared" si="63"/>
        <v>0</v>
      </c>
      <c r="AA72" s="2">
        <f t="shared" si="63"/>
        <v>0</v>
      </c>
      <c r="AB72" s="2">
        <f t="shared" si="63"/>
        <v>0</v>
      </c>
      <c r="AC72" s="2">
        <f t="shared" si="63"/>
        <v>0</v>
      </c>
      <c r="AD72" s="2">
        <f t="shared" si="63"/>
        <v>0</v>
      </c>
      <c r="AE72" s="2">
        <f t="shared" si="63"/>
        <v>0</v>
      </c>
      <c r="AF72" s="2">
        <f t="shared" si="63"/>
        <v>0</v>
      </c>
      <c r="AG72" s="2">
        <f t="shared" si="63"/>
        <v>0</v>
      </c>
      <c r="AH72" s="2">
        <f t="shared" si="63"/>
        <v>0</v>
      </c>
      <c r="AI72" s="2">
        <f t="shared" si="63"/>
        <v>0</v>
      </c>
      <c r="AJ72" s="2">
        <f t="shared" si="63"/>
        <v>0</v>
      </c>
      <c r="AK72" s="2">
        <f t="shared" si="63"/>
        <v>0</v>
      </c>
      <c r="AL72" s="2">
        <f t="shared" si="63"/>
        <v>0</v>
      </c>
      <c r="AM72" s="2">
        <f t="shared" si="63"/>
        <v>0</v>
      </c>
      <c r="AN72" s="2">
        <f t="shared" si="63"/>
        <v>0</v>
      </c>
      <c r="AO72" s="2">
        <f t="shared" si="63"/>
        <v>0</v>
      </c>
      <c r="AP72" s="2">
        <f t="shared" si="63"/>
        <v>0</v>
      </c>
      <c r="AQ72" s="2">
        <f t="shared" si="63"/>
        <v>0</v>
      </c>
      <c r="AR72" s="2">
        <f t="shared" si="63"/>
        <v>0</v>
      </c>
      <c r="AS72" s="2">
        <f t="shared" si="63"/>
        <v>0</v>
      </c>
      <c r="AT72" s="2">
        <f t="shared" si="63"/>
        <v>0</v>
      </c>
      <c r="AU72" s="2">
        <f t="shared" ref="AU72:BZ72" si="64">AU74</f>
        <v>0</v>
      </c>
      <c r="AV72" s="2">
        <f t="shared" si="64"/>
        <v>0</v>
      </c>
      <c r="AW72" s="2">
        <f t="shared" si="64"/>
        <v>0</v>
      </c>
      <c r="AX72" s="2">
        <f t="shared" si="64"/>
        <v>0</v>
      </c>
      <c r="AY72" s="2">
        <f t="shared" si="64"/>
        <v>0</v>
      </c>
      <c r="AZ72" s="2">
        <f t="shared" si="64"/>
        <v>0</v>
      </c>
      <c r="BA72" s="2">
        <f t="shared" si="64"/>
        <v>0</v>
      </c>
      <c r="BB72" s="2">
        <f t="shared" si="64"/>
        <v>0</v>
      </c>
      <c r="BC72" s="2">
        <f t="shared" si="64"/>
        <v>0</v>
      </c>
      <c r="BD72" s="2">
        <f t="shared" si="64"/>
        <v>0</v>
      </c>
      <c r="BE72" s="2">
        <f t="shared" si="64"/>
        <v>0</v>
      </c>
      <c r="BF72" s="2">
        <f t="shared" si="64"/>
        <v>0</v>
      </c>
      <c r="BG72" s="2">
        <f t="shared" si="64"/>
        <v>0</v>
      </c>
      <c r="BH72" s="2">
        <f t="shared" si="64"/>
        <v>0</v>
      </c>
      <c r="BI72" s="2">
        <f t="shared" si="64"/>
        <v>0</v>
      </c>
      <c r="BJ72" s="2">
        <f t="shared" si="64"/>
        <v>0</v>
      </c>
      <c r="BK72" s="2">
        <f t="shared" si="64"/>
        <v>0</v>
      </c>
      <c r="BL72" s="2">
        <f t="shared" si="64"/>
        <v>0</v>
      </c>
      <c r="BM72" s="2">
        <f t="shared" si="64"/>
        <v>0</v>
      </c>
      <c r="BN72" s="2">
        <f t="shared" si="64"/>
        <v>0</v>
      </c>
      <c r="BO72" s="2">
        <f t="shared" si="64"/>
        <v>0</v>
      </c>
      <c r="BP72" s="2">
        <f t="shared" si="64"/>
        <v>0</v>
      </c>
      <c r="BQ72" s="2">
        <f t="shared" si="64"/>
        <v>0</v>
      </c>
      <c r="BR72" s="2">
        <f t="shared" si="64"/>
        <v>0</v>
      </c>
      <c r="BS72" s="2">
        <f t="shared" si="64"/>
        <v>0</v>
      </c>
      <c r="BT72" s="2">
        <f t="shared" si="64"/>
        <v>0</v>
      </c>
      <c r="BU72" s="2">
        <f t="shared" si="64"/>
        <v>0</v>
      </c>
      <c r="BV72" s="2">
        <f t="shared" si="64"/>
        <v>0</v>
      </c>
      <c r="BW72" s="2">
        <f t="shared" si="64"/>
        <v>0</v>
      </c>
      <c r="BX72" s="2">
        <f t="shared" si="64"/>
        <v>0</v>
      </c>
      <c r="BY72" s="2">
        <f t="shared" si="64"/>
        <v>0</v>
      </c>
      <c r="BZ72" s="2">
        <f t="shared" si="64"/>
        <v>0</v>
      </c>
      <c r="CA72" s="2">
        <f t="shared" ref="CA72:DF72" si="65">CA74</f>
        <v>0</v>
      </c>
      <c r="CB72" s="2">
        <f t="shared" si="65"/>
        <v>0</v>
      </c>
      <c r="CC72" s="2">
        <f t="shared" si="65"/>
        <v>0</v>
      </c>
      <c r="CD72" s="2">
        <f t="shared" si="65"/>
        <v>0</v>
      </c>
      <c r="CE72" s="2">
        <f t="shared" si="65"/>
        <v>0</v>
      </c>
      <c r="CF72" s="2">
        <f t="shared" si="65"/>
        <v>0</v>
      </c>
      <c r="CG72" s="2">
        <f t="shared" si="65"/>
        <v>0</v>
      </c>
      <c r="CH72" s="2">
        <f t="shared" si="65"/>
        <v>0</v>
      </c>
      <c r="CI72" s="2">
        <f t="shared" si="65"/>
        <v>0</v>
      </c>
      <c r="CJ72" s="2">
        <f t="shared" si="65"/>
        <v>0</v>
      </c>
      <c r="CK72" s="2">
        <f t="shared" si="65"/>
        <v>0</v>
      </c>
      <c r="CL72" s="2">
        <f t="shared" si="65"/>
        <v>0</v>
      </c>
      <c r="CM72" s="2">
        <f t="shared" si="65"/>
        <v>0</v>
      </c>
      <c r="CN72" s="2">
        <f t="shared" si="65"/>
        <v>0</v>
      </c>
      <c r="CO72" s="2">
        <f t="shared" si="65"/>
        <v>0</v>
      </c>
      <c r="CP72" s="2">
        <f t="shared" si="65"/>
        <v>0</v>
      </c>
      <c r="CQ72" s="2">
        <f t="shared" si="65"/>
        <v>0</v>
      </c>
      <c r="CR72" s="2">
        <f t="shared" si="65"/>
        <v>0</v>
      </c>
      <c r="CS72" s="2">
        <f t="shared" si="65"/>
        <v>0</v>
      </c>
      <c r="CT72" s="2">
        <f t="shared" si="65"/>
        <v>0</v>
      </c>
      <c r="CU72" s="2">
        <f t="shared" si="65"/>
        <v>0</v>
      </c>
      <c r="CV72" s="2">
        <f t="shared" si="65"/>
        <v>0</v>
      </c>
      <c r="CW72" s="2">
        <f t="shared" si="65"/>
        <v>0</v>
      </c>
      <c r="CX72" s="2">
        <f t="shared" si="65"/>
        <v>0</v>
      </c>
      <c r="CY72" s="2">
        <f t="shared" si="65"/>
        <v>0</v>
      </c>
      <c r="CZ72" s="2">
        <f t="shared" si="65"/>
        <v>0</v>
      </c>
      <c r="DA72" s="2">
        <f t="shared" si="65"/>
        <v>0</v>
      </c>
      <c r="DB72" s="2">
        <f t="shared" si="65"/>
        <v>0</v>
      </c>
      <c r="DC72" s="2">
        <f t="shared" si="65"/>
        <v>0</v>
      </c>
      <c r="DD72" s="2">
        <f t="shared" si="65"/>
        <v>0</v>
      </c>
      <c r="DE72" s="2">
        <f t="shared" si="65"/>
        <v>0</v>
      </c>
      <c r="DF72" s="2">
        <f t="shared" si="65"/>
        <v>0</v>
      </c>
      <c r="DG72" s="3">
        <f t="shared" ref="DG72:EL72" si="66">DG74</f>
        <v>0</v>
      </c>
      <c r="DH72" s="3">
        <f t="shared" si="66"/>
        <v>0</v>
      </c>
      <c r="DI72" s="3">
        <f t="shared" si="66"/>
        <v>0</v>
      </c>
      <c r="DJ72" s="3">
        <f t="shared" si="66"/>
        <v>0</v>
      </c>
      <c r="DK72" s="3">
        <f t="shared" si="66"/>
        <v>0</v>
      </c>
      <c r="DL72" s="3">
        <f t="shared" si="66"/>
        <v>0</v>
      </c>
      <c r="DM72" s="3">
        <f t="shared" si="66"/>
        <v>0</v>
      </c>
      <c r="DN72" s="3">
        <f t="shared" si="66"/>
        <v>0</v>
      </c>
      <c r="DO72" s="3">
        <f t="shared" si="66"/>
        <v>0</v>
      </c>
      <c r="DP72" s="3">
        <f t="shared" si="66"/>
        <v>0</v>
      </c>
      <c r="DQ72" s="3">
        <f t="shared" si="66"/>
        <v>0</v>
      </c>
      <c r="DR72" s="3">
        <f t="shared" si="66"/>
        <v>0</v>
      </c>
      <c r="DS72" s="3">
        <f t="shared" si="66"/>
        <v>0</v>
      </c>
      <c r="DT72" s="3">
        <f t="shared" si="66"/>
        <v>0</v>
      </c>
      <c r="DU72" s="3">
        <f t="shared" si="66"/>
        <v>0</v>
      </c>
      <c r="DV72" s="3">
        <f t="shared" si="66"/>
        <v>0</v>
      </c>
      <c r="DW72" s="3">
        <f t="shared" si="66"/>
        <v>0</v>
      </c>
      <c r="DX72" s="3">
        <f t="shared" si="66"/>
        <v>0</v>
      </c>
      <c r="DY72" s="3">
        <f t="shared" si="66"/>
        <v>0</v>
      </c>
      <c r="DZ72" s="3">
        <f t="shared" si="66"/>
        <v>0</v>
      </c>
      <c r="EA72" s="3">
        <f t="shared" si="66"/>
        <v>0</v>
      </c>
      <c r="EB72" s="3">
        <f t="shared" si="66"/>
        <v>0</v>
      </c>
      <c r="EC72" s="3">
        <f t="shared" si="66"/>
        <v>0</v>
      </c>
      <c r="ED72" s="3">
        <f t="shared" si="66"/>
        <v>0</v>
      </c>
      <c r="EE72" s="3">
        <f t="shared" si="66"/>
        <v>0</v>
      </c>
      <c r="EF72" s="3">
        <f t="shared" si="66"/>
        <v>0</v>
      </c>
      <c r="EG72" s="3">
        <f t="shared" si="66"/>
        <v>0</v>
      </c>
      <c r="EH72" s="3">
        <f t="shared" si="66"/>
        <v>0</v>
      </c>
      <c r="EI72" s="3">
        <f t="shared" si="66"/>
        <v>0</v>
      </c>
      <c r="EJ72" s="3">
        <f t="shared" si="66"/>
        <v>0</v>
      </c>
      <c r="EK72" s="3">
        <f t="shared" si="66"/>
        <v>0</v>
      </c>
      <c r="EL72" s="3">
        <f t="shared" si="66"/>
        <v>0</v>
      </c>
      <c r="EM72" s="3">
        <f t="shared" ref="EM72:FR72" si="67">EM74</f>
        <v>0</v>
      </c>
      <c r="EN72" s="3">
        <f t="shared" si="67"/>
        <v>0</v>
      </c>
      <c r="EO72" s="3">
        <f t="shared" si="67"/>
        <v>0</v>
      </c>
      <c r="EP72" s="3">
        <f t="shared" si="67"/>
        <v>0</v>
      </c>
      <c r="EQ72" s="3">
        <f t="shared" si="67"/>
        <v>0</v>
      </c>
      <c r="ER72" s="3">
        <f t="shared" si="67"/>
        <v>0</v>
      </c>
      <c r="ES72" s="3">
        <f t="shared" si="67"/>
        <v>0</v>
      </c>
      <c r="ET72" s="3">
        <f t="shared" si="67"/>
        <v>0</v>
      </c>
      <c r="EU72" s="3">
        <f t="shared" si="67"/>
        <v>0</v>
      </c>
      <c r="EV72" s="3">
        <f t="shared" si="67"/>
        <v>0</v>
      </c>
      <c r="EW72" s="3">
        <f t="shared" si="67"/>
        <v>0</v>
      </c>
      <c r="EX72" s="3">
        <f t="shared" si="67"/>
        <v>0</v>
      </c>
      <c r="EY72" s="3">
        <f t="shared" si="67"/>
        <v>0</v>
      </c>
      <c r="EZ72" s="3">
        <f t="shared" si="67"/>
        <v>0</v>
      </c>
      <c r="FA72" s="3">
        <f t="shared" si="67"/>
        <v>0</v>
      </c>
      <c r="FB72" s="3">
        <f t="shared" si="67"/>
        <v>0</v>
      </c>
      <c r="FC72" s="3">
        <f t="shared" si="67"/>
        <v>0</v>
      </c>
      <c r="FD72" s="3">
        <f t="shared" si="67"/>
        <v>0</v>
      </c>
      <c r="FE72" s="3">
        <f t="shared" si="67"/>
        <v>0</v>
      </c>
      <c r="FF72" s="3">
        <f t="shared" si="67"/>
        <v>0</v>
      </c>
      <c r="FG72" s="3">
        <f t="shared" si="67"/>
        <v>0</v>
      </c>
      <c r="FH72" s="3">
        <f t="shared" si="67"/>
        <v>0</v>
      </c>
      <c r="FI72" s="3">
        <f t="shared" si="67"/>
        <v>0</v>
      </c>
      <c r="FJ72" s="3">
        <f t="shared" si="67"/>
        <v>0</v>
      </c>
      <c r="FK72" s="3">
        <f t="shared" si="67"/>
        <v>0</v>
      </c>
      <c r="FL72" s="3">
        <f t="shared" si="67"/>
        <v>0</v>
      </c>
      <c r="FM72" s="3">
        <f t="shared" si="67"/>
        <v>0</v>
      </c>
      <c r="FN72" s="3">
        <f t="shared" si="67"/>
        <v>0</v>
      </c>
      <c r="FO72" s="3">
        <f t="shared" si="67"/>
        <v>0</v>
      </c>
      <c r="FP72" s="3">
        <f t="shared" si="67"/>
        <v>0</v>
      </c>
      <c r="FQ72" s="3">
        <f t="shared" si="67"/>
        <v>0</v>
      </c>
      <c r="FR72" s="3">
        <f t="shared" si="67"/>
        <v>0</v>
      </c>
      <c r="FS72" s="3">
        <f t="shared" ref="FS72:GX72" si="68">FS74</f>
        <v>0</v>
      </c>
      <c r="FT72" s="3">
        <f t="shared" si="68"/>
        <v>0</v>
      </c>
      <c r="FU72" s="3">
        <f t="shared" si="68"/>
        <v>0</v>
      </c>
      <c r="FV72" s="3">
        <f t="shared" si="68"/>
        <v>0</v>
      </c>
      <c r="FW72" s="3">
        <f t="shared" si="68"/>
        <v>0</v>
      </c>
      <c r="FX72" s="3">
        <f t="shared" si="68"/>
        <v>0</v>
      </c>
      <c r="FY72" s="3">
        <f t="shared" si="68"/>
        <v>0</v>
      </c>
      <c r="FZ72" s="3">
        <f t="shared" si="68"/>
        <v>0</v>
      </c>
      <c r="GA72" s="3">
        <f t="shared" si="68"/>
        <v>0</v>
      </c>
      <c r="GB72" s="3">
        <f t="shared" si="68"/>
        <v>0</v>
      </c>
      <c r="GC72" s="3">
        <f t="shared" si="68"/>
        <v>0</v>
      </c>
      <c r="GD72" s="3">
        <f t="shared" si="68"/>
        <v>0</v>
      </c>
      <c r="GE72" s="3">
        <f t="shared" si="68"/>
        <v>0</v>
      </c>
      <c r="GF72" s="3">
        <f t="shared" si="68"/>
        <v>0</v>
      </c>
      <c r="GG72" s="3">
        <f t="shared" si="68"/>
        <v>0</v>
      </c>
      <c r="GH72" s="3">
        <f t="shared" si="68"/>
        <v>0</v>
      </c>
      <c r="GI72" s="3">
        <f t="shared" si="68"/>
        <v>0</v>
      </c>
      <c r="GJ72" s="3">
        <f t="shared" si="68"/>
        <v>0</v>
      </c>
      <c r="GK72" s="3">
        <f t="shared" si="68"/>
        <v>0</v>
      </c>
      <c r="GL72" s="3">
        <f t="shared" si="68"/>
        <v>0</v>
      </c>
      <c r="GM72" s="3">
        <f t="shared" si="68"/>
        <v>0</v>
      </c>
      <c r="GN72" s="3">
        <f t="shared" si="68"/>
        <v>0</v>
      </c>
      <c r="GO72" s="3">
        <f t="shared" si="68"/>
        <v>0</v>
      </c>
      <c r="GP72" s="3">
        <f t="shared" si="68"/>
        <v>0</v>
      </c>
      <c r="GQ72" s="3">
        <f t="shared" si="68"/>
        <v>0</v>
      </c>
      <c r="GR72" s="3">
        <f t="shared" si="68"/>
        <v>0</v>
      </c>
      <c r="GS72" s="3">
        <f t="shared" si="68"/>
        <v>0</v>
      </c>
      <c r="GT72" s="3">
        <f t="shared" si="68"/>
        <v>0</v>
      </c>
      <c r="GU72" s="3">
        <f t="shared" si="68"/>
        <v>0</v>
      </c>
      <c r="GV72" s="3">
        <f t="shared" si="68"/>
        <v>0</v>
      </c>
      <c r="GW72" s="3">
        <f t="shared" si="68"/>
        <v>0</v>
      </c>
      <c r="GX72" s="3">
        <f t="shared" si="68"/>
        <v>0</v>
      </c>
    </row>
    <row r="74" spans="1:206" x14ac:dyDescent="0.2">
      <c r="A74" s="2">
        <v>51</v>
      </c>
      <c r="B74" s="2">
        <f>B70</f>
        <v>1</v>
      </c>
      <c r="C74" s="2">
        <f>A70</f>
        <v>5</v>
      </c>
      <c r="D74" s="2">
        <f>ROW(A70)</f>
        <v>70</v>
      </c>
      <c r="E74" s="2"/>
      <c r="F74" s="2" t="str">
        <f>IF(F70&lt;&gt;"",F70,"")</f>
        <v>Новый подраздел</v>
      </c>
      <c r="G74" s="2" t="str">
        <f>IF(G70&lt;&gt;"",G70,"")</f>
        <v>Дворовой проезд</v>
      </c>
      <c r="H74" s="2">
        <v>0</v>
      </c>
      <c r="I74" s="2"/>
      <c r="J74" s="2"/>
      <c r="K74" s="2"/>
      <c r="L74" s="2"/>
      <c r="M74" s="2"/>
      <c r="N74" s="2"/>
      <c r="O74" s="2">
        <f t="shared" ref="O74:T74" si="69">ROUND(AB74,2)</f>
        <v>0</v>
      </c>
      <c r="P74" s="2">
        <f t="shared" si="69"/>
        <v>0</v>
      </c>
      <c r="Q74" s="2">
        <f t="shared" si="69"/>
        <v>0</v>
      </c>
      <c r="R74" s="2">
        <f t="shared" si="69"/>
        <v>0</v>
      </c>
      <c r="S74" s="2">
        <f t="shared" si="69"/>
        <v>0</v>
      </c>
      <c r="T74" s="2">
        <f t="shared" si="69"/>
        <v>0</v>
      </c>
      <c r="U74" s="2">
        <f>AH74</f>
        <v>0</v>
      </c>
      <c r="V74" s="2">
        <f>AI74</f>
        <v>0</v>
      </c>
      <c r="W74" s="2">
        <f>ROUND(AJ74,2)</f>
        <v>0</v>
      </c>
      <c r="X74" s="2">
        <f>ROUND(AK74,2)</f>
        <v>0</v>
      </c>
      <c r="Y74" s="2">
        <f>ROUND(AL74,2)</f>
        <v>0</v>
      </c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>
        <f t="shared" ref="AO74:BD74" si="70">ROUND(BX74,2)</f>
        <v>0</v>
      </c>
      <c r="AP74" s="2">
        <f t="shared" si="70"/>
        <v>0</v>
      </c>
      <c r="AQ74" s="2">
        <f t="shared" si="70"/>
        <v>0</v>
      </c>
      <c r="AR74" s="2">
        <f t="shared" si="70"/>
        <v>0</v>
      </c>
      <c r="AS74" s="2">
        <f t="shared" si="70"/>
        <v>0</v>
      </c>
      <c r="AT74" s="2">
        <f t="shared" si="70"/>
        <v>0</v>
      </c>
      <c r="AU74" s="2">
        <f t="shared" si="70"/>
        <v>0</v>
      </c>
      <c r="AV74" s="2">
        <f t="shared" si="70"/>
        <v>0</v>
      </c>
      <c r="AW74" s="2">
        <f t="shared" si="70"/>
        <v>0</v>
      </c>
      <c r="AX74" s="2">
        <f t="shared" si="70"/>
        <v>0</v>
      </c>
      <c r="AY74" s="2">
        <f t="shared" si="70"/>
        <v>0</v>
      </c>
      <c r="AZ74" s="2">
        <f t="shared" si="70"/>
        <v>0</v>
      </c>
      <c r="BA74" s="2">
        <f t="shared" si="70"/>
        <v>0</v>
      </c>
      <c r="BB74" s="2">
        <f t="shared" si="70"/>
        <v>0</v>
      </c>
      <c r="BC74" s="2">
        <f t="shared" si="70"/>
        <v>0</v>
      </c>
      <c r="BD74" s="2">
        <f t="shared" si="70"/>
        <v>0</v>
      </c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>
        <v>0</v>
      </c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201</v>
      </c>
      <c r="F76" s="4">
        <f>ROUND(Source!O74,O76)</f>
        <v>0</v>
      </c>
      <c r="G76" s="4" t="s">
        <v>66</v>
      </c>
      <c r="H76" s="4" t="s">
        <v>67</v>
      </c>
      <c r="I76" s="4"/>
      <c r="J76" s="4"/>
      <c r="K76" s="4">
        <v>201</v>
      </c>
      <c r="L76" s="4">
        <v>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202</v>
      </c>
      <c r="F77" s="4">
        <f>ROUND(Source!P74,O77)</f>
        <v>0</v>
      </c>
      <c r="G77" s="4" t="s">
        <v>68</v>
      </c>
      <c r="H77" s="4" t="s">
        <v>69</v>
      </c>
      <c r="I77" s="4"/>
      <c r="J77" s="4"/>
      <c r="K77" s="4">
        <v>202</v>
      </c>
      <c r="L77" s="4">
        <v>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222</v>
      </c>
      <c r="F78" s="4">
        <f>ROUND(Source!AO74,O78)</f>
        <v>0</v>
      </c>
      <c r="G78" s="4" t="s">
        <v>70</v>
      </c>
      <c r="H78" s="4" t="s">
        <v>71</v>
      </c>
      <c r="I78" s="4"/>
      <c r="J78" s="4"/>
      <c r="K78" s="4">
        <v>222</v>
      </c>
      <c r="L78" s="4">
        <v>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225</v>
      </c>
      <c r="F79" s="4">
        <f>ROUND(Source!AV74,O79)</f>
        <v>0</v>
      </c>
      <c r="G79" s="4" t="s">
        <v>72</v>
      </c>
      <c r="H79" s="4" t="s">
        <v>73</v>
      </c>
      <c r="I79" s="4"/>
      <c r="J79" s="4"/>
      <c r="K79" s="4">
        <v>225</v>
      </c>
      <c r="L79" s="4">
        <v>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226</v>
      </c>
      <c r="F80" s="4">
        <f>ROUND(Source!AW74,O80)</f>
        <v>0</v>
      </c>
      <c r="G80" s="4" t="s">
        <v>74</v>
      </c>
      <c r="H80" s="4" t="s">
        <v>75</v>
      </c>
      <c r="I80" s="4"/>
      <c r="J80" s="4"/>
      <c r="K80" s="4">
        <v>226</v>
      </c>
      <c r="L80" s="4">
        <v>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227</v>
      </c>
      <c r="F81" s="4">
        <f>ROUND(Source!AX74,O81)</f>
        <v>0</v>
      </c>
      <c r="G81" s="4" t="s">
        <v>76</v>
      </c>
      <c r="H81" s="4" t="s">
        <v>77</v>
      </c>
      <c r="I81" s="4"/>
      <c r="J81" s="4"/>
      <c r="K81" s="4">
        <v>227</v>
      </c>
      <c r="L81" s="4">
        <v>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228</v>
      </c>
      <c r="F82" s="4">
        <f>ROUND(Source!AY74,O82)</f>
        <v>0</v>
      </c>
      <c r="G82" s="4" t="s">
        <v>78</v>
      </c>
      <c r="H82" s="4" t="s">
        <v>79</v>
      </c>
      <c r="I82" s="4"/>
      <c r="J82" s="4"/>
      <c r="K82" s="4">
        <v>228</v>
      </c>
      <c r="L82" s="4">
        <v>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216</v>
      </c>
      <c r="F83" s="4">
        <f>ROUND(Source!AP74,O83)</f>
        <v>0</v>
      </c>
      <c r="G83" s="4" t="s">
        <v>80</v>
      </c>
      <c r="H83" s="4" t="s">
        <v>81</v>
      </c>
      <c r="I83" s="4"/>
      <c r="J83" s="4"/>
      <c r="K83" s="4">
        <v>216</v>
      </c>
      <c r="L83" s="4">
        <v>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223</v>
      </c>
      <c r="F84" s="4">
        <f>ROUND(Source!AQ74,O84)</f>
        <v>0</v>
      </c>
      <c r="G84" s="4" t="s">
        <v>82</v>
      </c>
      <c r="H84" s="4" t="s">
        <v>83</v>
      </c>
      <c r="I84" s="4"/>
      <c r="J84" s="4"/>
      <c r="K84" s="4">
        <v>223</v>
      </c>
      <c r="L84" s="4">
        <v>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229</v>
      </c>
      <c r="F85" s="4">
        <f>ROUND(Source!AZ74,O85)</f>
        <v>0</v>
      </c>
      <c r="G85" s="4" t="s">
        <v>84</v>
      </c>
      <c r="H85" s="4" t="s">
        <v>85</v>
      </c>
      <c r="I85" s="4"/>
      <c r="J85" s="4"/>
      <c r="K85" s="4">
        <v>229</v>
      </c>
      <c r="L85" s="4">
        <v>10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203</v>
      </c>
      <c r="F86" s="4">
        <f>ROUND(Source!Q74,O86)</f>
        <v>0</v>
      </c>
      <c r="G86" s="4" t="s">
        <v>86</v>
      </c>
      <c r="H86" s="4" t="s">
        <v>87</v>
      </c>
      <c r="I86" s="4"/>
      <c r="J86" s="4"/>
      <c r="K86" s="4">
        <v>203</v>
      </c>
      <c r="L86" s="4">
        <v>11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231</v>
      </c>
      <c r="F87" s="4">
        <f>ROUND(Source!BB74,O87)</f>
        <v>0</v>
      </c>
      <c r="G87" s="4" t="s">
        <v>88</v>
      </c>
      <c r="H87" s="4" t="s">
        <v>89</v>
      </c>
      <c r="I87" s="4"/>
      <c r="J87" s="4"/>
      <c r="K87" s="4">
        <v>231</v>
      </c>
      <c r="L87" s="4">
        <v>12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204</v>
      </c>
      <c r="F88" s="4">
        <f>ROUND(Source!R74,O88)</f>
        <v>0</v>
      </c>
      <c r="G88" s="4" t="s">
        <v>90</v>
      </c>
      <c r="H88" s="4" t="s">
        <v>91</v>
      </c>
      <c r="I88" s="4"/>
      <c r="J88" s="4"/>
      <c r="K88" s="4">
        <v>204</v>
      </c>
      <c r="L88" s="4">
        <v>13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205</v>
      </c>
      <c r="F89" s="4">
        <f>ROUND(Source!S74,O89)</f>
        <v>0</v>
      </c>
      <c r="G89" s="4" t="s">
        <v>92</v>
      </c>
      <c r="H89" s="4" t="s">
        <v>93</v>
      </c>
      <c r="I89" s="4"/>
      <c r="J89" s="4"/>
      <c r="K89" s="4">
        <v>205</v>
      </c>
      <c r="L89" s="4">
        <v>14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232</v>
      </c>
      <c r="F90" s="4">
        <f>ROUND(Source!BC74,O90)</f>
        <v>0</v>
      </c>
      <c r="G90" s="4" t="s">
        <v>94</v>
      </c>
      <c r="H90" s="4" t="s">
        <v>95</v>
      </c>
      <c r="I90" s="4"/>
      <c r="J90" s="4"/>
      <c r="K90" s="4">
        <v>232</v>
      </c>
      <c r="L90" s="4">
        <v>15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214</v>
      </c>
      <c r="F91" s="4">
        <f>ROUND(Source!AS74,O91)</f>
        <v>0</v>
      </c>
      <c r="G91" s="4" t="s">
        <v>96</v>
      </c>
      <c r="H91" s="4" t="s">
        <v>97</v>
      </c>
      <c r="I91" s="4"/>
      <c r="J91" s="4"/>
      <c r="K91" s="4">
        <v>214</v>
      </c>
      <c r="L91" s="4">
        <v>16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215</v>
      </c>
      <c r="F92" s="4">
        <f>ROUND(Source!AT74,O92)</f>
        <v>0</v>
      </c>
      <c r="G92" s="4" t="s">
        <v>98</v>
      </c>
      <c r="H92" s="4" t="s">
        <v>99</v>
      </c>
      <c r="I92" s="4"/>
      <c r="J92" s="4"/>
      <c r="K92" s="4">
        <v>215</v>
      </c>
      <c r="L92" s="4">
        <v>17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217</v>
      </c>
      <c r="F93" s="4">
        <f>ROUND(Source!AU74,O93)</f>
        <v>0</v>
      </c>
      <c r="G93" s="4" t="s">
        <v>100</v>
      </c>
      <c r="H93" s="4" t="s">
        <v>101</v>
      </c>
      <c r="I93" s="4"/>
      <c r="J93" s="4"/>
      <c r="K93" s="4">
        <v>217</v>
      </c>
      <c r="L93" s="4">
        <v>18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230</v>
      </c>
      <c r="F94" s="4">
        <f>ROUND(Source!BA74,O94)</f>
        <v>0</v>
      </c>
      <c r="G94" s="4" t="s">
        <v>102</v>
      </c>
      <c r="H94" s="4" t="s">
        <v>103</v>
      </c>
      <c r="I94" s="4"/>
      <c r="J94" s="4"/>
      <c r="K94" s="4">
        <v>230</v>
      </c>
      <c r="L94" s="4">
        <v>19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206</v>
      </c>
      <c r="F95" s="4">
        <f>ROUND(Source!T74,O95)</f>
        <v>0</v>
      </c>
      <c r="G95" s="4" t="s">
        <v>104</v>
      </c>
      <c r="H95" s="4" t="s">
        <v>105</v>
      </c>
      <c r="I95" s="4"/>
      <c r="J95" s="4"/>
      <c r="K95" s="4">
        <v>206</v>
      </c>
      <c r="L95" s="4">
        <v>20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207</v>
      </c>
      <c r="F96" s="4">
        <f>Source!U74</f>
        <v>0</v>
      </c>
      <c r="G96" s="4" t="s">
        <v>106</v>
      </c>
      <c r="H96" s="4" t="s">
        <v>107</v>
      </c>
      <c r="I96" s="4"/>
      <c r="J96" s="4"/>
      <c r="K96" s="4">
        <v>207</v>
      </c>
      <c r="L96" s="4">
        <v>21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208</v>
      </c>
      <c r="F97" s="4">
        <f>Source!V74</f>
        <v>0</v>
      </c>
      <c r="G97" s="4" t="s">
        <v>108</v>
      </c>
      <c r="H97" s="4" t="s">
        <v>109</v>
      </c>
      <c r="I97" s="4"/>
      <c r="J97" s="4"/>
      <c r="K97" s="4">
        <v>208</v>
      </c>
      <c r="L97" s="4">
        <v>22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209</v>
      </c>
      <c r="F98" s="4">
        <f>ROUND(Source!W74,O98)</f>
        <v>0</v>
      </c>
      <c r="G98" s="4" t="s">
        <v>110</v>
      </c>
      <c r="H98" s="4" t="s">
        <v>111</v>
      </c>
      <c r="I98" s="4"/>
      <c r="J98" s="4"/>
      <c r="K98" s="4">
        <v>209</v>
      </c>
      <c r="L98" s="4">
        <v>23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233</v>
      </c>
      <c r="F99" s="4">
        <f>ROUND(Source!BD74,O99)</f>
        <v>0</v>
      </c>
      <c r="G99" s="4" t="s">
        <v>112</v>
      </c>
      <c r="H99" s="4" t="s">
        <v>113</v>
      </c>
      <c r="I99" s="4"/>
      <c r="J99" s="4"/>
      <c r="K99" s="4">
        <v>233</v>
      </c>
      <c r="L99" s="4">
        <v>24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210</v>
      </c>
      <c r="F100" s="4">
        <f>ROUND(Source!X74,O100)</f>
        <v>0</v>
      </c>
      <c r="G100" s="4" t="s">
        <v>114</v>
      </c>
      <c r="H100" s="4" t="s">
        <v>115</v>
      </c>
      <c r="I100" s="4"/>
      <c r="J100" s="4"/>
      <c r="K100" s="4">
        <v>210</v>
      </c>
      <c r="L100" s="4">
        <v>25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211</v>
      </c>
      <c r="F101" s="4">
        <f>ROUND(Source!Y74,O101)</f>
        <v>0</v>
      </c>
      <c r="G101" s="4" t="s">
        <v>116</v>
      </c>
      <c r="H101" s="4" t="s">
        <v>117</v>
      </c>
      <c r="I101" s="4"/>
      <c r="J101" s="4"/>
      <c r="K101" s="4">
        <v>211</v>
      </c>
      <c r="L101" s="4">
        <v>26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224</v>
      </c>
      <c r="F102" s="4">
        <f>ROUND(Source!AR74,O102)</f>
        <v>0</v>
      </c>
      <c r="G102" s="4" t="s">
        <v>118</v>
      </c>
      <c r="H102" s="4" t="s">
        <v>119</v>
      </c>
      <c r="I102" s="4"/>
      <c r="J102" s="4"/>
      <c r="K102" s="4">
        <v>224</v>
      </c>
      <c r="L102" s="4">
        <v>27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4" spans="1:245" x14ac:dyDescent="0.2">
      <c r="A104" s="1">
        <v>5</v>
      </c>
      <c r="B104" s="1">
        <v>1</v>
      </c>
      <c r="C104" s="1"/>
      <c r="D104" s="1">
        <f>ROW(A124)</f>
        <v>124</v>
      </c>
      <c r="E104" s="1"/>
      <c r="F104" s="1" t="s">
        <v>16</v>
      </c>
      <c r="G104" s="1" t="s">
        <v>121</v>
      </c>
      <c r="H104" s="1" t="s">
        <v>3</v>
      </c>
      <c r="I104" s="1">
        <v>0</v>
      </c>
      <c r="J104" s="1"/>
      <c r="K104" s="1">
        <v>-1</v>
      </c>
      <c r="L104" s="1"/>
      <c r="M104" s="1"/>
      <c r="N104" s="1"/>
      <c r="O104" s="1"/>
      <c r="P104" s="1"/>
      <c r="Q104" s="1"/>
      <c r="R104" s="1"/>
      <c r="S104" s="1"/>
      <c r="T104" s="1"/>
      <c r="U104" s="1" t="s">
        <v>3</v>
      </c>
      <c r="V104" s="1">
        <v>0</v>
      </c>
      <c r="W104" s="1"/>
      <c r="X104" s="1"/>
      <c r="Y104" s="1"/>
      <c r="Z104" s="1"/>
      <c r="AA104" s="1"/>
      <c r="AB104" s="1" t="s">
        <v>3</v>
      </c>
      <c r="AC104" s="1" t="s">
        <v>3</v>
      </c>
      <c r="AD104" s="1" t="s">
        <v>3</v>
      </c>
      <c r="AE104" s="1" t="s">
        <v>3</v>
      </c>
      <c r="AF104" s="1" t="s">
        <v>3</v>
      </c>
      <c r="AG104" s="1" t="s">
        <v>3</v>
      </c>
      <c r="AH104" s="1"/>
      <c r="AI104" s="1"/>
      <c r="AJ104" s="1"/>
      <c r="AK104" s="1"/>
      <c r="AL104" s="1"/>
      <c r="AM104" s="1"/>
      <c r="AN104" s="1"/>
      <c r="AO104" s="1"/>
      <c r="AP104" s="1" t="s">
        <v>3</v>
      </c>
      <c r="AQ104" s="1" t="s">
        <v>3</v>
      </c>
      <c r="AR104" s="1" t="s">
        <v>3</v>
      </c>
      <c r="AS104" s="1"/>
      <c r="AT104" s="1"/>
      <c r="AU104" s="1"/>
      <c r="AV104" s="1"/>
      <c r="AW104" s="1"/>
      <c r="AX104" s="1"/>
      <c r="AY104" s="1"/>
      <c r="AZ104" s="1" t="s">
        <v>3</v>
      </c>
      <c r="BA104" s="1"/>
      <c r="BB104" s="1" t="s">
        <v>3</v>
      </c>
      <c r="BC104" s="1" t="s">
        <v>3</v>
      </c>
      <c r="BD104" s="1" t="s">
        <v>12</v>
      </c>
      <c r="BE104" s="1" t="s">
        <v>12</v>
      </c>
      <c r="BF104" s="1" t="s">
        <v>13</v>
      </c>
      <c r="BG104" s="1" t="s">
        <v>3</v>
      </c>
      <c r="BH104" s="1" t="s">
        <v>13</v>
      </c>
      <c r="BI104" s="1" t="s">
        <v>12</v>
      </c>
      <c r="BJ104" s="1" t="s">
        <v>3</v>
      </c>
      <c r="BK104" s="1" t="s">
        <v>3</v>
      </c>
      <c r="BL104" s="1" t="s">
        <v>3</v>
      </c>
      <c r="BM104" s="1" t="s">
        <v>3</v>
      </c>
      <c r="BN104" s="1" t="s">
        <v>12</v>
      </c>
      <c r="BO104" s="1" t="s">
        <v>3</v>
      </c>
      <c r="BP104" s="1" t="s">
        <v>3</v>
      </c>
      <c r="BQ104" s="1"/>
      <c r="BR104" s="1"/>
      <c r="BS104" s="1"/>
      <c r="BT104" s="1"/>
      <c r="BU104" s="1"/>
      <c r="BV104" s="1"/>
      <c r="BW104" s="1"/>
      <c r="BX104" s="1">
        <v>0</v>
      </c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>
        <v>0</v>
      </c>
    </row>
    <row r="106" spans="1:245" x14ac:dyDescent="0.2">
      <c r="A106" s="2">
        <v>52</v>
      </c>
      <c r="B106" s="2">
        <f t="shared" ref="B106:G106" si="71">B124</f>
        <v>1</v>
      </c>
      <c r="C106" s="2">
        <f t="shared" si="71"/>
        <v>5</v>
      </c>
      <c r="D106" s="2">
        <f t="shared" si="71"/>
        <v>104</v>
      </c>
      <c r="E106" s="2">
        <f t="shared" si="71"/>
        <v>0</v>
      </c>
      <c r="F106" s="2" t="str">
        <f t="shared" si="71"/>
        <v>Новый подраздел</v>
      </c>
      <c r="G106" s="2" t="str">
        <f t="shared" si="71"/>
        <v>Асфальт S=1092,55м2</v>
      </c>
      <c r="H106" s="2"/>
      <c r="I106" s="2"/>
      <c r="J106" s="2"/>
      <c r="K106" s="2"/>
      <c r="L106" s="2"/>
      <c r="M106" s="2"/>
      <c r="N106" s="2"/>
      <c r="O106" s="2">
        <f t="shared" ref="O106:AT106" si="72">O124</f>
        <v>129390.79</v>
      </c>
      <c r="P106" s="2">
        <f t="shared" si="72"/>
        <v>118728.97</v>
      </c>
      <c r="Q106" s="2">
        <f t="shared" si="72"/>
        <v>9764.41</v>
      </c>
      <c r="R106" s="2">
        <f t="shared" si="72"/>
        <v>974.78</v>
      </c>
      <c r="S106" s="2">
        <f t="shared" si="72"/>
        <v>897.41</v>
      </c>
      <c r="T106" s="2">
        <f t="shared" si="72"/>
        <v>0</v>
      </c>
      <c r="U106" s="2">
        <f t="shared" si="72"/>
        <v>118.04752875</v>
      </c>
      <c r="V106" s="2">
        <f t="shared" si="72"/>
        <v>72.822434999999999</v>
      </c>
      <c r="W106" s="2">
        <f t="shared" si="72"/>
        <v>0</v>
      </c>
      <c r="X106" s="2">
        <f t="shared" si="72"/>
        <v>2658.51</v>
      </c>
      <c r="Y106" s="2">
        <f t="shared" si="72"/>
        <v>1516.49</v>
      </c>
      <c r="Z106" s="2">
        <f t="shared" si="72"/>
        <v>0</v>
      </c>
      <c r="AA106" s="2">
        <f t="shared" si="72"/>
        <v>0</v>
      </c>
      <c r="AB106" s="2">
        <f t="shared" si="72"/>
        <v>129390.79</v>
      </c>
      <c r="AC106" s="2">
        <f t="shared" si="72"/>
        <v>118728.97</v>
      </c>
      <c r="AD106" s="2">
        <f t="shared" si="72"/>
        <v>9764.41</v>
      </c>
      <c r="AE106" s="2">
        <f t="shared" si="72"/>
        <v>974.78</v>
      </c>
      <c r="AF106" s="2">
        <f t="shared" si="72"/>
        <v>897.41</v>
      </c>
      <c r="AG106" s="2">
        <f t="shared" si="72"/>
        <v>0</v>
      </c>
      <c r="AH106" s="2">
        <f t="shared" si="72"/>
        <v>118.04752875</v>
      </c>
      <c r="AI106" s="2">
        <f t="shared" si="72"/>
        <v>72.822434999999999</v>
      </c>
      <c r="AJ106" s="2">
        <f t="shared" si="72"/>
        <v>0</v>
      </c>
      <c r="AK106" s="2">
        <f t="shared" si="72"/>
        <v>2658.51</v>
      </c>
      <c r="AL106" s="2">
        <f t="shared" si="72"/>
        <v>1516.49</v>
      </c>
      <c r="AM106" s="2">
        <f t="shared" si="72"/>
        <v>0</v>
      </c>
      <c r="AN106" s="2">
        <f t="shared" si="72"/>
        <v>0</v>
      </c>
      <c r="AO106" s="2">
        <f t="shared" si="72"/>
        <v>0</v>
      </c>
      <c r="AP106" s="2">
        <f t="shared" si="72"/>
        <v>0</v>
      </c>
      <c r="AQ106" s="2">
        <f t="shared" si="72"/>
        <v>0</v>
      </c>
      <c r="AR106" s="2">
        <f t="shared" si="72"/>
        <v>133565.79</v>
      </c>
      <c r="AS106" s="2">
        <f t="shared" si="72"/>
        <v>133565.79</v>
      </c>
      <c r="AT106" s="2">
        <f t="shared" si="72"/>
        <v>0</v>
      </c>
      <c r="AU106" s="2">
        <f t="shared" ref="AU106:BZ106" si="73">AU124</f>
        <v>0</v>
      </c>
      <c r="AV106" s="2">
        <f t="shared" si="73"/>
        <v>118728.97</v>
      </c>
      <c r="AW106" s="2">
        <f t="shared" si="73"/>
        <v>118728.97</v>
      </c>
      <c r="AX106" s="2">
        <f t="shared" si="73"/>
        <v>0</v>
      </c>
      <c r="AY106" s="2">
        <f t="shared" si="73"/>
        <v>118728.97</v>
      </c>
      <c r="AZ106" s="2">
        <f t="shared" si="73"/>
        <v>0</v>
      </c>
      <c r="BA106" s="2">
        <f t="shared" si="73"/>
        <v>0</v>
      </c>
      <c r="BB106" s="2">
        <f t="shared" si="73"/>
        <v>0</v>
      </c>
      <c r="BC106" s="2">
        <f t="shared" si="73"/>
        <v>0</v>
      </c>
      <c r="BD106" s="2">
        <f t="shared" si="73"/>
        <v>0</v>
      </c>
      <c r="BE106" s="2">
        <f t="shared" si="73"/>
        <v>0</v>
      </c>
      <c r="BF106" s="2">
        <f t="shared" si="73"/>
        <v>0</v>
      </c>
      <c r="BG106" s="2">
        <f t="shared" si="73"/>
        <v>0</v>
      </c>
      <c r="BH106" s="2">
        <f t="shared" si="73"/>
        <v>0</v>
      </c>
      <c r="BI106" s="2">
        <f t="shared" si="73"/>
        <v>0</v>
      </c>
      <c r="BJ106" s="2">
        <f t="shared" si="73"/>
        <v>0</v>
      </c>
      <c r="BK106" s="2">
        <f t="shared" si="73"/>
        <v>0</v>
      </c>
      <c r="BL106" s="2">
        <f t="shared" si="73"/>
        <v>0</v>
      </c>
      <c r="BM106" s="2">
        <f t="shared" si="73"/>
        <v>0</v>
      </c>
      <c r="BN106" s="2">
        <f t="shared" si="73"/>
        <v>0</v>
      </c>
      <c r="BO106" s="2">
        <f t="shared" si="73"/>
        <v>0</v>
      </c>
      <c r="BP106" s="2">
        <f t="shared" si="73"/>
        <v>0</v>
      </c>
      <c r="BQ106" s="2">
        <f t="shared" si="73"/>
        <v>0</v>
      </c>
      <c r="BR106" s="2">
        <f t="shared" si="73"/>
        <v>0</v>
      </c>
      <c r="BS106" s="2">
        <f t="shared" si="73"/>
        <v>0</v>
      </c>
      <c r="BT106" s="2">
        <f t="shared" si="73"/>
        <v>0</v>
      </c>
      <c r="BU106" s="2">
        <f t="shared" si="73"/>
        <v>0</v>
      </c>
      <c r="BV106" s="2">
        <f t="shared" si="73"/>
        <v>0</v>
      </c>
      <c r="BW106" s="2">
        <f t="shared" si="73"/>
        <v>0</v>
      </c>
      <c r="BX106" s="2">
        <f t="shared" si="73"/>
        <v>0</v>
      </c>
      <c r="BY106" s="2">
        <f t="shared" si="73"/>
        <v>0</v>
      </c>
      <c r="BZ106" s="2">
        <f t="shared" si="73"/>
        <v>0</v>
      </c>
      <c r="CA106" s="2">
        <f t="shared" ref="CA106:DF106" si="74">CA124</f>
        <v>133565.79</v>
      </c>
      <c r="CB106" s="2">
        <f t="shared" si="74"/>
        <v>133565.79</v>
      </c>
      <c r="CC106" s="2">
        <f t="shared" si="74"/>
        <v>0</v>
      </c>
      <c r="CD106" s="2">
        <f t="shared" si="74"/>
        <v>0</v>
      </c>
      <c r="CE106" s="2">
        <f t="shared" si="74"/>
        <v>118728.97</v>
      </c>
      <c r="CF106" s="2">
        <f t="shared" si="74"/>
        <v>118728.97</v>
      </c>
      <c r="CG106" s="2">
        <f t="shared" si="74"/>
        <v>0</v>
      </c>
      <c r="CH106" s="2">
        <f t="shared" si="74"/>
        <v>118728.97</v>
      </c>
      <c r="CI106" s="2">
        <f t="shared" si="74"/>
        <v>0</v>
      </c>
      <c r="CJ106" s="2">
        <f t="shared" si="74"/>
        <v>0</v>
      </c>
      <c r="CK106" s="2">
        <f t="shared" si="74"/>
        <v>0</v>
      </c>
      <c r="CL106" s="2">
        <f t="shared" si="74"/>
        <v>0</v>
      </c>
      <c r="CM106" s="2">
        <f t="shared" si="74"/>
        <v>0</v>
      </c>
      <c r="CN106" s="2">
        <f t="shared" si="74"/>
        <v>0</v>
      </c>
      <c r="CO106" s="2">
        <f t="shared" si="74"/>
        <v>0</v>
      </c>
      <c r="CP106" s="2">
        <f t="shared" si="74"/>
        <v>0</v>
      </c>
      <c r="CQ106" s="2">
        <f t="shared" si="74"/>
        <v>0</v>
      </c>
      <c r="CR106" s="2">
        <f t="shared" si="74"/>
        <v>0</v>
      </c>
      <c r="CS106" s="2">
        <f t="shared" si="74"/>
        <v>0</v>
      </c>
      <c r="CT106" s="2">
        <f t="shared" si="74"/>
        <v>0</v>
      </c>
      <c r="CU106" s="2">
        <f t="shared" si="74"/>
        <v>0</v>
      </c>
      <c r="CV106" s="2">
        <f t="shared" si="74"/>
        <v>0</v>
      </c>
      <c r="CW106" s="2">
        <f t="shared" si="74"/>
        <v>0</v>
      </c>
      <c r="CX106" s="2">
        <f t="shared" si="74"/>
        <v>0</v>
      </c>
      <c r="CY106" s="2">
        <f t="shared" si="74"/>
        <v>0</v>
      </c>
      <c r="CZ106" s="2">
        <f t="shared" si="74"/>
        <v>0</v>
      </c>
      <c r="DA106" s="2">
        <f t="shared" si="74"/>
        <v>0</v>
      </c>
      <c r="DB106" s="2">
        <f t="shared" si="74"/>
        <v>0</v>
      </c>
      <c r="DC106" s="2">
        <f t="shared" si="74"/>
        <v>0</v>
      </c>
      <c r="DD106" s="2">
        <f t="shared" si="74"/>
        <v>0</v>
      </c>
      <c r="DE106" s="2">
        <f t="shared" si="74"/>
        <v>0</v>
      </c>
      <c r="DF106" s="2">
        <f t="shared" si="74"/>
        <v>0</v>
      </c>
      <c r="DG106" s="3">
        <f t="shared" ref="DG106:EL106" si="75">DG124</f>
        <v>0</v>
      </c>
      <c r="DH106" s="3">
        <f t="shared" si="75"/>
        <v>0</v>
      </c>
      <c r="DI106" s="3">
        <f t="shared" si="75"/>
        <v>0</v>
      </c>
      <c r="DJ106" s="3">
        <f t="shared" si="75"/>
        <v>0</v>
      </c>
      <c r="DK106" s="3">
        <f t="shared" si="75"/>
        <v>0</v>
      </c>
      <c r="DL106" s="3">
        <f t="shared" si="75"/>
        <v>0</v>
      </c>
      <c r="DM106" s="3">
        <f t="shared" si="75"/>
        <v>0</v>
      </c>
      <c r="DN106" s="3">
        <f t="shared" si="75"/>
        <v>0</v>
      </c>
      <c r="DO106" s="3">
        <f t="shared" si="75"/>
        <v>0</v>
      </c>
      <c r="DP106" s="3">
        <f t="shared" si="75"/>
        <v>0</v>
      </c>
      <c r="DQ106" s="3">
        <f t="shared" si="75"/>
        <v>0</v>
      </c>
      <c r="DR106" s="3">
        <f t="shared" si="75"/>
        <v>0</v>
      </c>
      <c r="DS106" s="3">
        <f t="shared" si="75"/>
        <v>0</v>
      </c>
      <c r="DT106" s="3">
        <f t="shared" si="75"/>
        <v>0</v>
      </c>
      <c r="DU106" s="3">
        <f t="shared" si="75"/>
        <v>0</v>
      </c>
      <c r="DV106" s="3">
        <f t="shared" si="75"/>
        <v>0</v>
      </c>
      <c r="DW106" s="3">
        <f t="shared" si="75"/>
        <v>0</v>
      </c>
      <c r="DX106" s="3">
        <f t="shared" si="75"/>
        <v>0</v>
      </c>
      <c r="DY106" s="3">
        <f t="shared" si="75"/>
        <v>0</v>
      </c>
      <c r="DZ106" s="3">
        <f t="shared" si="75"/>
        <v>0</v>
      </c>
      <c r="EA106" s="3">
        <f t="shared" si="75"/>
        <v>0</v>
      </c>
      <c r="EB106" s="3">
        <f t="shared" si="75"/>
        <v>0</v>
      </c>
      <c r="EC106" s="3">
        <f t="shared" si="75"/>
        <v>0</v>
      </c>
      <c r="ED106" s="3">
        <f t="shared" si="75"/>
        <v>0</v>
      </c>
      <c r="EE106" s="3">
        <f t="shared" si="75"/>
        <v>0</v>
      </c>
      <c r="EF106" s="3">
        <f t="shared" si="75"/>
        <v>0</v>
      </c>
      <c r="EG106" s="3">
        <f t="shared" si="75"/>
        <v>0</v>
      </c>
      <c r="EH106" s="3">
        <f t="shared" si="75"/>
        <v>0</v>
      </c>
      <c r="EI106" s="3">
        <f t="shared" si="75"/>
        <v>0</v>
      </c>
      <c r="EJ106" s="3">
        <f t="shared" si="75"/>
        <v>0</v>
      </c>
      <c r="EK106" s="3">
        <f t="shared" si="75"/>
        <v>0</v>
      </c>
      <c r="EL106" s="3">
        <f t="shared" si="75"/>
        <v>0</v>
      </c>
      <c r="EM106" s="3">
        <f t="shared" ref="EM106:FR106" si="76">EM124</f>
        <v>0</v>
      </c>
      <c r="EN106" s="3">
        <f t="shared" si="76"/>
        <v>0</v>
      </c>
      <c r="EO106" s="3">
        <f t="shared" si="76"/>
        <v>0</v>
      </c>
      <c r="EP106" s="3">
        <f t="shared" si="76"/>
        <v>0</v>
      </c>
      <c r="EQ106" s="3">
        <f t="shared" si="76"/>
        <v>0</v>
      </c>
      <c r="ER106" s="3">
        <f t="shared" si="76"/>
        <v>0</v>
      </c>
      <c r="ES106" s="3">
        <f t="shared" si="76"/>
        <v>0</v>
      </c>
      <c r="ET106" s="3">
        <f t="shared" si="76"/>
        <v>0</v>
      </c>
      <c r="EU106" s="3">
        <f t="shared" si="76"/>
        <v>0</v>
      </c>
      <c r="EV106" s="3">
        <f t="shared" si="76"/>
        <v>0</v>
      </c>
      <c r="EW106" s="3">
        <f t="shared" si="76"/>
        <v>0</v>
      </c>
      <c r="EX106" s="3">
        <f t="shared" si="76"/>
        <v>0</v>
      </c>
      <c r="EY106" s="3">
        <f t="shared" si="76"/>
        <v>0</v>
      </c>
      <c r="EZ106" s="3">
        <f t="shared" si="76"/>
        <v>0</v>
      </c>
      <c r="FA106" s="3">
        <f t="shared" si="76"/>
        <v>0</v>
      </c>
      <c r="FB106" s="3">
        <f t="shared" si="76"/>
        <v>0</v>
      </c>
      <c r="FC106" s="3">
        <f t="shared" si="76"/>
        <v>0</v>
      </c>
      <c r="FD106" s="3">
        <f t="shared" si="76"/>
        <v>0</v>
      </c>
      <c r="FE106" s="3">
        <f t="shared" si="76"/>
        <v>0</v>
      </c>
      <c r="FF106" s="3">
        <f t="shared" si="76"/>
        <v>0</v>
      </c>
      <c r="FG106" s="3">
        <f t="shared" si="76"/>
        <v>0</v>
      </c>
      <c r="FH106" s="3">
        <f t="shared" si="76"/>
        <v>0</v>
      </c>
      <c r="FI106" s="3">
        <f t="shared" si="76"/>
        <v>0</v>
      </c>
      <c r="FJ106" s="3">
        <f t="shared" si="76"/>
        <v>0</v>
      </c>
      <c r="FK106" s="3">
        <f t="shared" si="76"/>
        <v>0</v>
      </c>
      <c r="FL106" s="3">
        <f t="shared" si="76"/>
        <v>0</v>
      </c>
      <c r="FM106" s="3">
        <f t="shared" si="76"/>
        <v>0</v>
      </c>
      <c r="FN106" s="3">
        <f t="shared" si="76"/>
        <v>0</v>
      </c>
      <c r="FO106" s="3">
        <f t="shared" si="76"/>
        <v>0</v>
      </c>
      <c r="FP106" s="3">
        <f t="shared" si="76"/>
        <v>0</v>
      </c>
      <c r="FQ106" s="3">
        <f t="shared" si="76"/>
        <v>0</v>
      </c>
      <c r="FR106" s="3">
        <f t="shared" si="76"/>
        <v>0</v>
      </c>
      <c r="FS106" s="3">
        <f t="shared" ref="FS106:GX106" si="77">FS124</f>
        <v>0</v>
      </c>
      <c r="FT106" s="3">
        <f t="shared" si="77"/>
        <v>0</v>
      </c>
      <c r="FU106" s="3">
        <f t="shared" si="77"/>
        <v>0</v>
      </c>
      <c r="FV106" s="3">
        <f t="shared" si="77"/>
        <v>0</v>
      </c>
      <c r="FW106" s="3">
        <f t="shared" si="77"/>
        <v>0</v>
      </c>
      <c r="FX106" s="3">
        <f t="shared" si="77"/>
        <v>0</v>
      </c>
      <c r="FY106" s="3">
        <f t="shared" si="77"/>
        <v>0</v>
      </c>
      <c r="FZ106" s="3">
        <f t="shared" si="77"/>
        <v>0</v>
      </c>
      <c r="GA106" s="3">
        <f t="shared" si="77"/>
        <v>0</v>
      </c>
      <c r="GB106" s="3">
        <f t="shared" si="77"/>
        <v>0</v>
      </c>
      <c r="GC106" s="3">
        <f t="shared" si="77"/>
        <v>0</v>
      </c>
      <c r="GD106" s="3">
        <f t="shared" si="77"/>
        <v>0</v>
      </c>
      <c r="GE106" s="3">
        <f t="shared" si="77"/>
        <v>0</v>
      </c>
      <c r="GF106" s="3">
        <f t="shared" si="77"/>
        <v>0</v>
      </c>
      <c r="GG106" s="3">
        <f t="shared" si="77"/>
        <v>0</v>
      </c>
      <c r="GH106" s="3">
        <f t="shared" si="77"/>
        <v>0</v>
      </c>
      <c r="GI106" s="3">
        <f t="shared" si="77"/>
        <v>0</v>
      </c>
      <c r="GJ106" s="3">
        <f t="shared" si="77"/>
        <v>0</v>
      </c>
      <c r="GK106" s="3">
        <f t="shared" si="77"/>
        <v>0</v>
      </c>
      <c r="GL106" s="3">
        <f t="shared" si="77"/>
        <v>0</v>
      </c>
      <c r="GM106" s="3">
        <f t="shared" si="77"/>
        <v>0</v>
      </c>
      <c r="GN106" s="3">
        <f t="shared" si="77"/>
        <v>0</v>
      </c>
      <c r="GO106" s="3">
        <f t="shared" si="77"/>
        <v>0</v>
      </c>
      <c r="GP106" s="3">
        <f t="shared" si="77"/>
        <v>0</v>
      </c>
      <c r="GQ106" s="3">
        <f t="shared" si="77"/>
        <v>0</v>
      </c>
      <c r="GR106" s="3">
        <f t="shared" si="77"/>
        <v>0</v>
      </c>
      <c r="GS106" s="3">
        <f t="shared" si="77"/>
        <v>0</v>
      </c>
      <c r="GT106" s="3">
        <f t="shared" si="77"/>
        <v>0</v>
      </c>
      <c r="GU106" s="3">
        <f t="shared" si="77"/>
        <v>0</v>
      </c>
      <c r="GV106" s="3">
        <f t="shared" si="77"/>
        <v>0</v>
      </c>
      <c r="GW106" s="3">
        <f t="shared" si="77"/>
        <v>0</v>
      </c>
      <c r="GX106" s="3">
        <f t="shared" si="77"/>
        <v>0</v>
      </c>
    </row>
    <row r="108" spans="1:245" x14ac:dyDescent="0.2">
      <c r="A108">
        <v>17</v>
      </c>
      <c r="B108">
        <v>1</v>
      </c>
      <c r="C108">
        <f>ROW(SmtRes!A29)</f>
        <v>29</v>
      </c>
      <c r="D108">
        <f>ROW(EtalonRes!A29)</f>
        <v>29</v>
      </c>
      <c r="E108" t="s">
        <v>122</v>
      </c>
      <c r="F108" t="s">
        <v>123</v>
      </c>
      <c r="G108" t="s">
        <v>124</v>
      </c>
      <c r="H108" t="s">
        <v>125</v>
      </c>
      <c r="I108">
        <f>ROUND((172.16*0.1)/100,4)</f>
        <v>0.17219999999999999</v>
      </c>
      <c r="J108">
        <v>0</v>
      </c>
      <c r="O108">
        <f t="shared" ref="O108:O122" si="78">ROUND(CP108,2)</f>
        <v>483.03</v>
      </c>
      <c r="P108">
        <f t="shared" ref="P108:P122" si="79">ROUND(CQ108*I108,2)</f>
        <v>1.95</v>
      </c>
      <c r="Q108">
        <f t="shared" ref="Q108:Q122" si="80">ROUND(CR108*I108,2)</f>
        <v>460.78</v>
      </c>
      <c r="R108">
        <f t="shared" ref="R108:R122" si="81">ROUND(CS108*I108,2)</f>
        <v>37.520000000000003</v>
      </c>
      <c r="S108">
        <f t="shared" ref="S108:S122" si="82">ROUND(CT108*I108,2)</f>
        <v>20.3</v>
      </c>
      <c r="T108">
        <f t="shared" ref="T108:T122" si="83">ROUND(CU108*I108,2)</f>
        <v>0</v>
      </c>
      <c r="U108">
        <f t="shared" ref="U108:U122" si="84">CV108*I108</f>
        <v>3.1130315999999998</v>
      </c>
      <c r="V108">
        <f t="shared" ref="V108:V122" si="85">CW108*I108</f>
        <v>2.98767</v>
      </c>
      <c r="W108">
        <f t="shared" ref="W108:W122" si="86">ROUND(CX108*I108,2)</f>
        <v>0</v>
      </c>
      <c r="X108">
        <f t="shared" ref="X108:X122" si="87">ROUND(CY108,2)</f>
        <v>82.1</v>
      </c>
      <c r="Y108">
        <f t="shared" ref="Y108:Y122" si="88">ROUND(CZ108,2)</f>
        <v>46.83</v>
      </c>
      <c r="AA108">
        <v>39201625</v>
      </c>
      <c r="AB108">
        <f t="shared" ref="AB108:AB122" si="89">ROUND((AC108+AD108+AF108),2)</f>
        <v>2805.01</v>
      </c>
      <c r="AC108">
        <f t="shared" ref="AC108:AC114" si="90">ROUND((ES108),2)</f>
        <v>11.3</v>
      </c>
      <c r="AD108">
        <f>ROUND(((((ET108*1.25))-((EU108*1.25)))+AE108),2)</f>
        <v>2675.85</v>
      </c>
      <c r="AE108">
        <f>ROUND(((EU108*1.25)),2)</f>
        <v>217.91</v>
      </c>
      <c r="AF108">
        <f>ROUND(((EV108*1.15)),2)</f>
        <v>117.86</v>
      </c>
      <c r="AG108">
        <f t="shared" ref="AG108:AG122" si="91">ROUND((AP108),2)</f>
        <v>0</v>
      </c>
      <c r="AH108">
        <f>((EW108*1.15))</f>
        <v>18.077999999999999</v>
      </c>
      <c r="AI108">
        <f>((EX108*1.25))</f>
        <v>17.350000000000001</v>
      </c>
      <c r="AJ108">
        <f t="shared" ref="AJ108:AJ122" si="92">(AS108)</f>
        <v>0</v>
      </c>
      <c r="AK108">
        <v>2254.4699999999998</v>
      </c>
      <c r="AL108">
        <v>11.3</v>
      </c>
      <c r="AM108">
        <v>2140.6799999999998</v>
      </c>
      <c r="AN108">
        <v>174.33</v>
      </c>
      <c r="AO108">
        <v>102.49</v>
      </c>
      <c r="AP108">
        <v>0</v>
      </c>
      <c r="AQ108">
        <v>15.72</v>
      </c>
      <c r="AR108">
        <v>13.88</v>
      </c>
      <c r="AS108">
        <v>0</v>
      </c>
      <c r="AT108">
        <v>142</v>
      </c>
      <c r="AU108">
        <v>81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1</v>
      </c>
      <c r="BJ108" t="s">
        <v>126</v>
      </c>
      <c r="BM108">
        <v>27001</v>
      </c>
      <c r="BN108">
        <v>0</v>
      </c>
      <c r="BO108" t="s">
        <v>3</v>
      </c>
      <c r="BP108">
        <v>0</v>
      </c>
      <c r="BQ108">
        <v>2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142</v>
      </c>
      <c r="CA108">
        <v>95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ref="CP108:CP122" si="93">(P108+Q108+S108)</f>
        <v>483.03</v>
      </c>
      <c r="CQ108">
        <f t="shared" ref="CQ108:CQ122" si="94">AC108*BC108</f>
        <v>11.3</v>
      </c>
      <c r="CR108">
        <f t="shared" ref="CR108:CR122" si="95">AD108*BB108</f>
        <v>2675.85</v>
      </c>
      <c r="CS108">
        <f t="shared" ref="CS108:CS122" si="96">AE108*BS108</f>
        <v>217.91</v>
      </c>
      <c r="CT108">
        <f t="shared" ref="CT108:CT122" si="97">AF108*BA108</f>
        <v>117.86</v>
      </c>
      <c r="CU108">
        <f t="shared" ref="CU108:CU122" si="98">AG108</f>
        <v>0</v>
      </c>
      <c r="CV108">
        <f t="shared" ref="CV108:CV122" si="99">AH108</f>
        <v>18.077999999999999</v>
      </c>
      <c r="CW108">
        <f t="shared" ref="CW108:CW122" si="100">AI108</f>
        <v>17.350000000000001</v>
      </c>
      <c r="CX108">
        <f t="shared" ref="CX108:CX122" si="101">AJ108</f>
        <v>0</v>
      </c>
      <c r="CY108">
        <f t="shared" ref="CY108:CY122" si="102">(((S108+R108)*ROUND((FX108*IF((0=0),(IF(0,1,1)*1*IF(1,1,1)),1)),0))/100)</f>
        <v>82.104399999999998</v>
      </c>
      <c r="CZ108">
        <f t="shared" ref="CZ108:CZ122" si="103">(((S108+R108)*ROUND((FY108*IF((0=0),(1*IF(1,1,1)),1)),0))/100)</f>
        <v>46.83420000000001</v>
      </c>
      <c r="DC108" t="s">
        <v>3</v>
      </c>
      <c r="DD108" t="s">
        <v>3</v>
      </c>
      <c r="DE108" t="s">
        <v>12</v>
      </c>
      <c r="DF108" t="s">
        <v>12</v>
      </c>
      <c r="DG108" t="s">
        <v>13</v>
      </c>
      <c r="DH108" t="s">
        <v>3</v>
      </c>
      <c r="DI108" t="s">
        <v>13</v>
      </c>
      <c r="DJ108" t="s">
        <v>12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1013</v>
      </c>
      <c r="DV108" t="s">
        <v>125</v>
      </c>
      <c r="DW108" t="s">
        <v>125</v>
      </c>
      <c r="DX108">
        <v>1</v>
      </c>
      <c r="EE108">
        <v>39190938</v>
      </c>
      <c r="EF108">
        <v>2</v>
      </c>
      <c r="EG108" t="s">
        <v>31</v>
      </c>
      <c r="EH108">
        <v>0</v>
      </c>
      <c r="EI108" t="s">
        <v>3</v>
      </c>
      <c r="EJ108">
        <v>1</v>
      </c>
      <c r="EK108">
        <v>27001</v>
      </c>
      <c r="EL108" t="s">
        <v>32</v>
      </c>
      <c r="EM108" t="s">
        <v>33</v>
      </c>
      <c r="EO108" t="s">
        <v>3</v>
      </c>
      <c r="EQ108">
        <v>131072</v>
      </c>
      <c r="ER108">
        <v>2254.4699999999998</v>
      </c>
      <c r="ES108">
        <v>11.3</v>
      </c>
      <c r="ET108">
        <v>2140.6799999999998</v>
      </c>
      <c r="EU108">
        <v>174.33</v>
      </c>
      <c r="EV108">
        <v>102.49</v>
      </c>
      <c r="EW108">
        <v>15.72</v>
      </c>
      <c r="EX108">
        <v>13.88</v>
      </c>
      <c r="EY108">
        <v>0</v>
      </c>
      <c r="FQ108">
        <v>0</v>
      </c>
      <c r="FR108">
        <f t="shared" ref="FR108:FR122" si="104">ROUND(IF(AND(BH108=3,BI108=3),P108,0),2)</f>
        <v>0</v>
      </c>
      <c r="FS108">
        <v>0</v>
      </c>
      <c r="FU108" t="s">
        <v>34</v>
      </c>
      <c r="FX108">
        <v>142</v>
      </c>
      <c r="FY108">
        <v>80.75</v>
      </c>
      <c r="GA108" t="s">
        <v>3</v>
      </c>
      <c r="GD108">
        <v>1</v>
      </c>
      <c r="GF108">
        <v>2010671087</v>
      </c>
      <c r="GG108">
        <v>2</v>
      </c>
      <c r="GH108">
        <v>0</v>
      </c>
      <c r="GI108">
        <v>0</v>
      </c>
      <c r="GJ108">
        <v>0</v>
      </c>
      <c r="GK108">
        <v>0</v>
      </c>
      <c r="GL108">
        <f t="shared" ref="GL108:GL122" si="105">ROUND(IF(AND(BH108=3,BI108=3,FS108&lt;&gt;0),P108,0),2)</f>
        <v>0</v>
      </c>
      <c r="GM108">
        <f t="shared" ref="GM108:GM122" si="106">ROUND(O108+X108+Y108,2)+GX108</f>
        <v>611.96</v>
      </c>
      <c r="GN108">
        <f t="shared" ref="GN108:GN122" si="107">IF(OR(BI108=0,BI108=1),ROUND(O108+X108+Y108,2),0)</f>
        <v>611.96</v>
      </c>
      <c r="GO108">
        <f t="shared" ref="GO108:GO122" si="108">IF(BI108=2,ROUND(O108+X108+Y108,2),0)</f>
        <v>0</v>
      </c>
      <c r="GP108">
        <f t="shared" ref="GP108:GP122" si="109">IF(BI108=4,ROUND(O108+X108+Y108,2)+GX108,0)</f>
        <v>0</v>
      </c>
      <c r="GR108">
        <v>0</v>
      </c>
      <c r="GS108">
        <v>0</v>
      </c>
      <c r="GT108">
        <v>0</v>
      </c>
      <c r="GU108" t="s">
        <v>3</v>
      </c>
      <c r="GV108">
        <f t="shared" ref="GV108:GV122" si="110">ROUND((GT108),2)</f>
        <v>0</v>
      </c>
      <c r="GW108">
        <v>1</v>
      </c>
      <c r="GX108">
        <f t="shared" ref="GX108:GX122" si="111">ROUND(HC108*I108,2)</f>
        <v>0</v>
      </c>
      <c r="HA108">
        <v>0</v>
      </c>
      <c r="HB108">
        <v>0</v>
      </c>
      <c r="HC108">
        <f t="shared" ref="HC108:HC122" si="112">GV108*GW108</f>
        <v>0</v>
      </c>
      <c r="IK108">
        <v>0</v>
      </c>
    </row>
    <row r="109" spans="1:245" x14ac:dyDescent="0.2">
      <c r="A109">
        <v>18</v>
      </c>
      <c r="B109">
        <v>1</v>
      </c>
      <c r="C109">
        <v>28</v>
      </c>
      <c r="E109" t="s">
        <v>127</v>
      </c>
      <c r="F109" t="s">
        <v>128</v>
      </c>
      <c r="G109" t="s">
        <v>129</v>
      </c>
      <c r="H109" t="s">
        <v>130</v>
      </c>
      <c r="I109">
        <f>I108*J109</f>
        <v>18.942</v>
      </c>
      <c r="J109">
        <v>110</v>
      </c>
      <c r="O109">
        <f t="shared" si="78"/>
        <v>969.26</v>
      </c>
      <c r="P109">
        <f t="shared" si="79"/>
        <v>969.26</v>
      </c>
      <c r="Q109">
        <f t="shared" si="80"/>
        <v>0</v>
      </c>
      <c r="R109">
        <f t="shared" si="81"/>
        <v>0</v>
      </c>
      <c r="S109">
        <f t="shared" si="82"/>
        <v>0</v>
      </c>
      <c r="T109">
        <f t="shared" si="83"/>
        <v>0</v>
      </c>
      <c r="U109">
        <f t="shared" si="84"/>
        <v>0</v>
      </c>
      <c r="V109">
        <f t="shared" si="85"/>
        <v>0</v>
      </c>
      <c r="W109">
        <f t="shared" si="86"/>
        <v>0</v>
      </c>
      <c r="X109">
        <f t="shared" si="87"/>
        <v>0</v>
      </c>
      <c r="Y109">
        <f t="shared" si="88"/>
        <v>0</v>
      </c>
      <c r="AA109">
        <v>39201625</v>
      </c>
      <c r="AB109">
        <f t="shared" si="89"/>
        <v>51.17</v>
      </c>
      <c r="AC109">
        <f t="shared" si="90"/>
        <v>51.17</v>
      </c>
      <c r="AD109">
        <f>ROUND((((ET109)-(EU109))+AE109),2)</f>
        <v>0</v>
      </c>
      <c r="AE109">
        <f>ROUND((EU109),2)</f>
        <v>0</v>
      </c>
      <c r="AF109">
        <f>ROUND((EV109),2)</f>
        <v>0</v>
      </c>
      <c r="AG109">
        <f t="shared" si="91"/>
        <v>0</v>
      </c>
      <c r="AH109">
        <f>(EW109)</f>
        <v>0</v>
      </c>
      <c r="AI109">
        <f>(EX109)</f>
        <v>0</v>
      </c>
      <c r="AJ109">
        <f t="shared" si="92"/>
        <v>0</v>
      </c>
      <c r="AK109">
        <v>51.17</v>
      </c>
      <c r="AL109">
        <v>51.17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142</v>
      </c>
      <c r="AU109">
        <v>81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1</v>
      </c>
      <c r="BJ109" t="s">
        <v>131</v>
      </c>
      <c r="BM109">
        <v>27001</v>
      </c>
      <c r="BN109">
        <v>0</v>
      </c>
      <c r="BO109" t="s">
        <v>3</v>
      </c>
      <c r="BP109">
        <v>0</v>
      </c>
      <c r="BQ109">
        <v>2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142</v>
      </c>
      <c r="CA109">
        <v>95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93"/>
        <v>969.26</v>
      </c>
      <c r="CQ109">
        <f t="shared" si="94"/>
        <v>51.17</v>
      </c>
      <c r="CR109">
        <f t="shared" si="95"/>
        <v>0</v>
      </c>
      <c r="CS109">
        <f t="shared" si="96"/>
        <v>0</v>
      </c>
      <c r="CT109">
        <f t="shared" si="97"/>
        <v>0</v>
      </c>
      <c r="CU109">
        <f t="shared" si="98"/>
        <v>0</v>
      </c>
      <c r="CV109">
        <f t="shared" si="99"/>
        <v>0</v>
      </c>
      <c r="CW109">
        <f t="shared" si="100"/>
        <v>0</v>
      </c>
      <c r="CX109">
        <f t="shared" si="101"/>
        <v>0</v>
      </c>
      <c r="CY109">
        <f t="shared" si="102"/>
        <v>0</v>
      </c>
      <c r="CZ109">
        <f t="shared" si="103"/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1007</v>
      </c>
      <c r="DV109" t="s">
        <v>130</v>
      </c>
      <c r="DW109" t="s">
        <v>130</v>
      </c>
      <c r="DX109">
        <v>1</v>
      </c>
      <c r="EE109">
        <v>39190938</v>
      </c>
      <c r="EF109">
        <v>2</v>
      </c>
      <c r="EG109" t="s">
        <v>31</v>
      </c>
      <c r="EH109">
        <v>0</v>
      </c>
      <c r="EI109" t="s">
        <v>3</v>
      </c>
      <c r="EJ109">
        <v>1</v>
      </c>
      <c r="EK109">
        <v>27001</v>
      </c>
      <c r="EL109" t="s">
        <v>32</v>
      </c>
      <c r="EM109" t="s">
        <v>33</v>
      </c>
      <c r="EO109" t="s">
        <v>3</v>
      </c>
      <c r="EQ109">
        <v>0</v>
      </c>
      <c r="ER109">
        <v>51.17</v>
      </c>
      <c r="ES109">
        <v>51.17</v>
      </c>
      <c r="ET109">
        <v>0</v>
      </c>
      <c r="EU109">
        <v>0</v>
      </c>
      <c r="EV109">
        <v>0</v>
      </c>
      <c r="EW109">
        <v>0</v>
      </c>
      <c r="EX109">
        <v>0</v>
      </c>
      <c r="FQ109">
        <v>0</v>
      </c>
      <c r="FR109">
        <f t="shared" si="104"/>
        <v>0</v>
      </c>
      <c r="FS109">
        <v>0</v>
      </c>
      <c r="FU109" t="s">
        <v>34</v>
      </c>
      <c r="FX109">
        <v>142</v>
      </c>
      <c r="FY109">
        <v>80.75</v>
      </c>
      <c r="GA109" t="s">
        <v>3</v>
      </c>
      <c r="GD109">
        <v>1</v>
      </c>
      <c r="GF109">
        <v>-215471597</v>
      </c>
      <c r="GG109">
        <v>2</v>
      </c>
      <c r="GH109">
        <v>0</v>
      </c>
      <c r="GI109">
        <v>0</v>
      </c>
      <c r="GJ109">
        <v>0</v>
      </c>
      <c r="GK109">
        <v>0</v>
      </c>
      <c r="GL109">
        <f t="shared" si="105"/>
        <v>0</v>
      </c>
      <c r="GM109">
        <f t="shared" si="106"/>
        <v>969.26</v>
      </c>
      <c r="GN109">
        <f t="shared" si="107"/>
        <v>969.26</v>
      </c>
      <c r="GO109">
        <f t="shared" si="108"/>
        <v>0</v>
      </c>
      <c r="GP109">
        <f t="shared" si="109"/>
        <v>0</v>
      </c>
      <c r="GR109">
        <v>0</v>
      </c>
      <c r="GS109">
        <v>0</v>
      </c>
      <c r="GT109">
        <v>0</v>
      </c>
      <c r="GU109" t="s">
        <v>3</v>
      </c>
      <c r="GV109">
        <f t="shared" si="110"/>
        <v>0</v>
      </c>
      <c r="GW109">
        <v>1</v>
      </c>
      <c r="GX109">
        <f t="shared" si="111"/>
        <v>0</v>
      </c>
      <c r="HA109">
        <v>0</v>
      </c>
      <c r="HB109">
        <v>0</v>
      </c>
      <c r="HC109">
        <f t="shared" si="112"/>
        <v>0</v>
      </c>
      <c r="IK109">
        <v>0</v>
      </c>
    </row>
    <row r="110" spans="1:245" x14ac:dyDescent="0.2">
      <c r="A110">
        <v>17</v>
      </c>
      <c r="B110">
        <v>1</v>
      </c>
      <c r="C110">
        <f>ROW(SmtRes!A37)</f>
        <v>37</v>
      </c>
      <c r="D110">
        <f>ROW(EtalonRes!A38)</f>
        <v>38</v>
      </c>
      <c r="E110" t="s">
        <v>132</v>
      </c>
      <c r="F110" t="s">
        <v>133</v>
      </c>
      <c r="G110" t="s">
        <v>134</v>
      </c>
      <c r="H110" t="s">
        <v>125</v>
      </c>
      <c r="I110">
        <f>ROUND((920.39*0.06)/100,4)</f>
        <v>0.55220000000000002</v>
      </c>
      <c r="J110">
        <v>0</v>
      </c>
      <c r="O110">
        <f t="shared" si="78"/>
        <v>2412.8000000000002</v>
      </c>
      <c r="P110">
        <f t="shared" si="79"/>
        <v>8.74</v>
      </c>
      <c r="Q110">
        <f t="shared" si="80"/>
        <v>2302.98</v>
      </c>
      <c r="R110">
        <f t="shared" si="81"/>
        <v>188.83</v>
      </c>
      <c r="S110">
        <f t="shared" si="82"/>
        <v>101.08</v>
      </c>
      <c r="T110">
        <f t="shared" si="83"/>
        <v>0</v>
      </c>
      <c r="U110">
        <f t="shared" si="84"/>
        <v>15.3613757</v>
      </c>
      <c r="V110">
        <f t="shared" si="85"/>
        <v>14.219150000000001</v>
      </c>
      <c r="W110">
        <f t="shared" si="86"/>
        <v>0</v>
      </c>
      <c r="X110">
        <f t="shared" si="87"/>
        <v>411.67</v>
      </c>
      <c r="Y110">
        <f t="shared" si="88"/>
        <v>234.83</v>
      </c>
      <c r="AA110">
        <v>39201625</v>
      </c>
      <c r="AB110">
        <f t="shared" si="89"/>
        <v>4369.42</v>
      </c>
      <c r="AC110">
        <f t="shared" si="90"/>
        <v>15.82</v>
      </c>
      <c r="AD110">
        <f>ROUND(((((ET110*1.25))-((EU110*1.25)))+AE110),2)</f>
        <v>4170.55</v>
      </c>
      <c r="AE110">
        <f>ROUND(((EU110*1.25)),2)</f>
        <v>341.96</v>
      </c>
      <c r="AF110">
        <f>ROUND(((EV110*1.15)),2)</f>
        <v>183.05</v>
      </c>
      <c r="AG110">
        <f t="shared" si="91"/>
        <v>0</v>
      </c>
      <c r="AH110">
        <f>((EW110*1.15))</f>
        <v>27.8185</v>
      </c>
      <c r="AI110">
        <f>((EX110*1.25))</f>
        <v>25.75</v>
      </c>
      <c r="AJ110">
        <f t="shared" si="92"/>
        <v>0</v>
      </c>
      <c r="AK110">
        <v>3511.43</v>
      </c>
      <c r="AL110">
        <v>15.82</v>
      </c>
      <c r="AM110">
        <v>3336.44</v>
      </c>
      <c r="AN110">
        <v>273.57</v>
      </c>
      <c r="AO110">
        <v>159.16999999999999</v>
      </c>
      <c r="AP110">
        <v>0</v>
      </c>
      <c r="AQ110">
        <v>24.19</v>
      </c>
      <c r="AR110">
        <v>20.6</v>
      </c>
      <c r="AS110">
        <v>0</v>
      </c>
      <c r="AT110">
        <v>142</v>
      </c>
      <c r="AU110">
        <v>81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135</v>
      </c>
      <c r="BM110">
        <v>27001</v>
      </c>
      <c r="BN110">
        <v>0</v>
      </c>
      <c r="BO110" t="s">
        <v>3</v>
      </c>
      <c r="BP110">
        <v>0</v>
      </c>
      <c r="BQ110">
        <v>2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142</v>
      </c>
      <c r="CA110">
        <v>95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93"/>
        <v>2412.7999999999997</v>
      </c>
      <c r="CQ110">
        <f t="shared" si="94"/>
        <v>15.82</v>
      </c>
      <c r="CR110">
        <f t="shared" si="95"/>
        <v>4170.55</v>
      </c>
      <c r="CS110">
        <f t="shared" si="96"/>
        <v>341.96</v>
      </c>
      <c r="CT110">
        <f t="shared" si="97"/>
        <v>183.05</v>
      </c>
      <c r="CU110">
        <f t="shared" si="98"/>
        <v>0</v>
      </c>
      <c r="CV110">
        <f t="shared" si="99"/>
        <v>27.8185</v>
      </c>
      <c r="CW110">
        <f t="shared" si="100"/>
        <v>25.75</v>
      </c>
      <c r="CX110">
        <f t="shared" si="101"/>
        <v>0</v>
      </c>
      <c r="CY110">
        <f t="shared" si="102"/>
        <v>411.67220000000003</v>
      </c>
      <c r="CZ110">
        <f t="shared" si="103"/>
        <v>234.82710000000003</v>
      </c>
      <c r="DC110" t="s">
        <v>3</v>
      </c>
      <c r="DD110" t="s">
        <v>3</v>
      </c>
      <c r="DE110" t="s">
        <v>12</v>
      </c>
      <c r="DF110" t="s">
        <v>12</v>
      </c>
      <c r="DG110" t="s">
        <v>13</v>
      </c>
      <c r="DH110" t="s">
        <v>3</v>
      </c>
      <c r="DI110" t="s">
        <v>13</v>
      </c>
      <c r="DJ110" t="s">
        <v>12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125</v>
      </c>
      <c r="DW110" t="s">
        <v>125</v>
      </c>
      <c r="DX110">
        <v>1</v>
      </c>
      <c r="EE110">
        <v>39190938</v>
      </c>
      <c r="EF110">
        <v>2</v>
      </c>
      <c r="EG110" t="s">
        <v>31</v>
      </c>
      <c r="EH110">
        <v>0</v>
      </c>
      <c r="EI110" t="s">
        <v>3</v>
      </c>
      <c r="EJ110">
        <v>1</v>
      </c>
      <c r="EK110">
        <v>27001</v>
      </c>
      <c r="EL110" t="s">
        <v>32</v>
      </c>
      <c r="EM110" t="s">
        <v>33</v>
      </c>
      <c r="EO110" t="s">
        <v>3</v>
      </c>
      <c r="EQ110">
        <v>131072</v>
      </c>
      <c r="ER110">
        <v>3511.43</v>
      </c>
      <c r="ES110">
        <v>15.82</v>
      </c>
      <c r="ET110">
        <v>3336.44</v>
      </c>
      <c r="EU110">
        <v>273.57</v>
      </c>
      <c r="EV110">
        <v>159.16999999999999</v>
      </c>
      <c r="EW110">
        <v>24.19</v>
      </c>
      <c r="EX110">
        <v>20.6</v>
      </c>
      <c r="EY110">
        <v>0</v>
      </c>
      <c r="FQ110">
        <v>0</v>
      </c>
      <c r="FR110">
        <f t="shared" si="104"/>
        <v>0</v>
      </c>
      <c r="FS110">
        <v>0</v>
      </c>
      <c r="FU110" t="s">
        <v>34</v>
      </c>
      <c r="FX110">
        <v>142</v>
      </c>
      <c r="FY110">
        <v>80.75</v>
      </c>
      <c r="GA110" t="s">
        <v>3</v>
      </c>
      <c r="GD110">
        <v>1</v>
      </c>
      <c r="GF110">
        <v>1356489891</v>
      </c>
      <c r="GG110">
        <v>2</v>
      </c>
      <c r="GH110">
        <v>0</v>
      </c>
      <c r="GI110">
        <v>0</v>
      </c>
      <c r="GJ110">
        <v>0</v>
      </c>
      <c r="GK110">
        <v>0</v>
      </c>
      <c r="GL110">
        <f t="shared" si="105"/>
        <v>0</v>
      </c>
      <c r="GM110">
        <f t="shared" si="106"/>
        <v>3059.3</v>
      </c>
      <c r="GN110">
        <f t="shared" si="107"/>
        <v>3059.3</v>
      </c>
      <c r="GO110">
        <f t="shared" si="108"/>
        <v>0</v>
      </c>
      <c r="GP110">
        <f t="shared" si="109"/>
        <v>0</v>
      </c>
      <c r="GR110">
        <v>0</v>
      </c>
      <c r="GS110">
        <v>0</v>
      </c>
      <c r="GT110">
        <v>0</v>
      </c>
      <c r="GU110" t="s">
        <v>3</v>
      </c>
      <c r="GV110">
        <f t="shared" si="110"/>
        <v>0</v>
      </c>
      <c r="GW110">
        <v>1</v>
      </c>
      <c r="GX110">
        <f t="shared" si="111"/>
        <v>0</v>
      </c>
      <c r="HA110">
        <v>0</v>
      </c>
      <c r="HB110">
        <v>0</v>
      </c>
      <c r="HC110">
        <f t="shared" si="112"/>
        <v>0</v>
      </c>
      <c r="IK110">
        <v>0</v>
      </c>
    </row>
    <row r="111" spans="1:245" x14ac:dyDescent="0.2">
      <c r="A111">
        <v>17</v>
      </c>
      <c r="B111">
        <v>1</v>
      </c>
      <c r="C111">
        <f>ROW(SmtRes!A46)</f>
        <v>46</v>
      </c>
      <c r="D111">
        <f>ROW(EtalonRes!A47)</f>
        <v>47</v>
      </c>
      <c r="E111" t="s">
        <v>136</v>
      </c>
      <c r="F111" t="s">
        <v>133</v>
      </c>
      <c r="G111" t="s">
        <v>137</v>
      </c>
      <c r="H111" t="s">
        <v>125</v>
      </c>
      <c r="I111">
        <f>ROUND((172.16*0.06)/100,4)</f>
        <v>0.1033</v>
      </c>
      <c r="J111">
        <v>0</v>
      </c>
      <c r="O111">
        <f t="shared" si="78"/>
        <v>451.36</v>
      </c>
      <c r="P111">
        <f t="shared" si="79"/>
        <v>1.63</v>
      </c>
      <c r="Q111">
        <f t="shared" si="80"/>
        <v>430.82</v>
      </c>
      <c r="R111">
        <f t="shared" si="81"/>
        <v>35.32</v>
      </c>
      <c r="S111">
        <f t="shared" si="82"/>
        <v>18.91</v>
      </c>
      <c r="T111">
        <f t="shared" si="83"/>
        <v>0</v>
      </c>
      <c r="U111">
        <f t="shared" si="84"/>
        <v>2.8736510500000003</v>
      </c>
      <c r="V111">
        <f t="shared" si="85"/>
        <v>2.6599750000000002</v>
      </c>
      <c r="W111">
        <f t="shared" si="86"/>
        <v>0</v>
      </c>
      <c r="X111">
        <f t="shared" si="87"/>
        <v>77.010000000000005</v>
      </c>
      <c r="Y111">
        <f t="shared" si="88"/>
        <v>43.93</v>
      </c>
      <c r="AA111">
        <v>39201625</v>
      </c>
      <c r="AB111">
        <f t="shared" si="89"/>
        <v>4369.42</v>
      </c>
      <c r="AC111">
        <f t="shared" si="90"/>
        <v>15.82</v>
      </c>
      <c r="AD111">
        <f>ROUND(((((ET111*1.25))-((EU111*1.25)))+AE111),2)</f>
        <v>4170.55</v>
      </c>
      <c r="AE111">
        <f>ROUND(((EU111*1.25)),2)</f>
        <v>341.96</v>
      </c>
      <c r="AF111">
        <f>ROUND(((EV111*1.15)),2)</f>
        <v>183.05</v>
      </c>
      <c r="AG111">
        <f t="shared" si="91"/>
        <v>0</v>
      </c>
      <c r="AH111">
        <f>((EW111*1.15))</f>
        <v>27.8185</v>
      </c>
      <c r="AI111">
        <f>((EX111*1.25))</f>
        <v>25.75</v>
      </c>
      <c r="AJ111">
        <f t="shared" si="92"/>
        <v>0</v>
      </c>
      <c r="AK111">
        <v>3511.43</v>
      </c>
      <c r="AL111">
        <v>15.82</v>
      </c>
      <c r="AM111">
        <v>3336.44</v>
      </c>
      <c r="AN111">
        <v>273.57</v>
      </c>
      <c r="AO111">
        <v>159.16999999999999</v>
      </c>
      <c r="AP111">
        <v>0</v>
      </c>
      <c r="AQ111">
        <v>24.19</v>
      </c>
      <c r="AR111">
        <v>20.6</v>
      </c>
      <c r="AS111">
        <v>0</v>
      </c>
      <c r="AT111">
        <v>142</v>
      </c>
      <c r="AU111">
        <v>81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135</v>
      </c>
      <c r="BM111">
        <v>27001</v>
      </c>
      <c r="BN111">
        <v>0</v>
      </c>
      <c r="BO111" t="s">
        <v>3</v>
      </c>
      <c r="BP111">
        <v>0</v>
      </c>
      <c r="BQ111">
        <v>2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142</v>
      </c>
      <c r="CA111">
        <v>95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93"/>
        <v>451.36</v>
      </c>
      <c r="CQ111">
        <f t="shared" si="94"/>
        <v>15.82</v>
      </c>
      <c r="CR111">
        <f t="shared" si="95"/>
        <v>4170.55</v>
      </c>
      <c r="CS111">
        <f t="shared" si="96"/>
        <v>341.96</v>
      </c>
      <c r="CT111">
        <f t="shared" si="97"/>
        <v>183.05</v>
      </c>
      <c r="CU111">
        <f t="shared" si="98"/>
        <v>0</v>
      </c>
      <c r="CV111">
        <f t="shared" si="99"/>
        <v>27.8185</v>
      </c>
      <c r="CW111">
        <f t="shared" si="100"/>
        <v>25.75</v>
      </c>
      <c r="CX111">
        <f t="shared" si="101"/>
        <v>0</v>
      </c>
      <c r="CY111">
        <f t="shared" si="102"/>
        <v>77.006600000000006</v>
      </c>
      <c r="CZ111">
        <f t="shared" si="103"/>
        <v>43.926299999999998</v>
      </c>
      <c r="DC111" t="s">
        <v>3</v>
      </c>
      <c r="DD111" t="s">
        <v>3</v>
      </c>
      <c r="DE111" t="s">
        <v>138</v>
      </c>
      <c r="DF111" t="s">
        <v>138</v>
      </c>
      <c r="DG111" t="s">
        <v>139</v>
      </c>
      <c r="DH111" t="s">
        <v>3</v>
      </c>
      <c r="DI111" t="s">
        <v>139</v>
      </c>
      <c r="DJ111" t="s">
        <v>138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125</v>
      </c>
      <c r="DW111" t="s">
        <v>125</v>
      </c>
      <c r="DX111">
        <v>1</v>
      </c>
      <c r="EE111">
        <v>39190938</v>
      </c>
      <c r="EF111">
        <v>2</v>
      </c>
      <c r="EG111" t="s">
        <v>31</v>
      </c>
      <c r="EH111">
        <v>0</v>
      </c>
      <c r="EI111" t="s">
        <v>3</v>
      </c>
      <c r="EJ111">
        <v>1</v>
      </c>
      <c r="EK111">
        <v>27001</v>
      </c>
      <c r="EL111" t="s">
        <v>32</v>
      </c>
      <c r="EM111" t="s">
        <v>33</v>
      </c>
      <c r="EO111" t="s">
        <v>3</v>
      </c>
      <c r="EQ111">
        <v>0</v>
      </c>
      <c r="ER111">
        <v>3511.43</v>
      </c>
      <c r="ES111">
        <v>15.82</v>
      </c>
      <c r="ET111">
        <v>3336.44</v>
      </c>
      <c r="EU111">
        <v>273.57</v>
      </c>
      <c r="EV111">
        <v>159.16999999999999</v>
      </c>
      <c r="EW111">
        <v>24.19</v>
      </c>
      <c r="EX111">
        <v>20.6</v>
      </c>
      <c r="EY111">
        <v>0</v>
      </c>
      <c r="FQ111">
        <v>0</v>
      </c>
      <c r="FR111">
        <f t="shared" si="104"/>
        <v>0</v>
      </c>
      <c r="FS111">
        <v>0</v>
      </c>
      <c r="FU111" t="s">
        <v>34</v>
      </c>
      <c r="FX111">
        <v>142</v>
      </c>
      <c r="FY111">
        <v>80.75</v>
      </c>
      <c r="GA111" t="s">
        <v>3</v>
      </c>
      <c r="GD111">
        <v>1</v>
      </c>
      <c r="GF111">
        <v>-2049045877</v>
      </c>
      <c r="GG111">
        <v>2</v>
      </c>
      <c r="GH111">
        <v>1</v>
      </c>
      <c r="GI111">
        <v>-2</v>
      </c>
      <c r="GJ111">
        <v>0</v>
      </c>
      <c r="GK111">
        <v>0</v>
      </c>
      <c r="GL111">
        <f t="shared" si="105"/>
        <v>0</v>
      </c>
      <c r="GM111">
        <f t="shared" si="106"/>
        <v>572.29999999999995</v>
      </c>
      <c r="GN111">
        <f t="shared" si="107"/>
        <v>572.29999999999995</v>
      </c>
      <c r="GO111">
        <f t="shared" si="108"/>
        <v>0</v>
      </c>
      <c r="GP111">
        <f t="shared" si="109"/>
        <v>0</v>
      </c>
      <c r="GR111">
        <v>0</v>
      </c>
      <c r="GS111">
        <v>3</v>
      </c>
      <c r="GT111">
        <v>0</v>
      </c>
      <c r="GU111" t="s">
        <v>3</v>
      </c>
      <c r="GV111">
        <f t="shared" si="110"/>
        <v>0</v>
      </c>
      <c r="GW111">
        <v>1</v>
      </c>
      <c r="GX111">
        <f t="shared" si="111"/>
        <v>0</v>
      </c>
      <c r="HA111">
        <v>0</v>
      </c>
      <c r="HB111">
        <v>0</v>
      </c>
      <c r="HC111">
        <f t="shared" si="112"/>
        <v>0</v>
      </c>
      <c r="IK111">
        <v>0</v>
      </c>
    </row>
    <row r="112" spans="1:245" x14ac:dyDescent="0.2">
      <c r="A112">
        <v>18</v>
      </c>
      <c r="B112">
        <v>1</v>
      </c>
      <c r="C112">
        <v>45</v>
      </c>
      <c r="E112" t="s">
        <v>140</v>
      </c>
      <c r="F112" t="s">
        <v>141</v>
      </c>
      <c r="G112" t="s">
        <v>142</v>
      </c>
      <c r="H112" t="s">
        <v>130</v>
      </c>
      <c r="I112">
        <f>I111*J112</f>
        <v>13.0158</v>
      </c>
      <c r="J112">
        <v>126</v>
      </c>
      <c r="O112">
        <f t="shared" si="78"/>
        <v>1655.61</v>
      </c>
      <c r="P112">
        <f t="shared" si="79"/>
        <v>1655.61</v>
      </c>
      <c r="Q112">
        <f t="shared" si="80"/>
        <v>0</v>
      </c>
      <c r="R112">
        <f t="shared" si="81"/>
        <v>0</v>
      </c>
      <c r="S112">
        <f t="shared" si="82"/>
        <v>0</v>
      </c>
      <c r="T112">
        <f t="shared" si="83"/>
        <v>0</v>
      </c>
      <c r="U112">
        <f t="shared" si="84"/>
        <v>0</v>
      </c>
      <c r="V112">
        <f t="shared" si="85"/>
        <v>0</v>
      </c>
      <c r="W112">
        <f t="shared" si="86"/>
        <v>0</v>
      </c>
      <c r="X112">
        <f t="shared" si="87"/>
        <v>0</v>
      </c>
      <c r="Y112">
        <f t="shared" si="88"/>
        <v>0</v>
      </c>
      <c r="AA112">
        <v>39201625</v>
      </c>
      <c r="AB112">
        <f t="shared" si="89"/>
        <v>127.2</v>
      </c>
      <c r="AC112">
        <f t="shared" si="90"/>
        <v>127.2</v>
      </c>
      <c r="AD112">
        <f>ROUND((((ET112)-(EU112))+AE112),2)</f>
        <v>0</v>
      </c>
      <c r="AE112">
        <f>ROUND((EU112),2)</f>
        <v>0</v>
      </c>
      <c r="AF112">
        <f>ROUND((EV112),2)</f>
        <v>0</v>
      </c>
      <c r="AG112">
        <f t="shared" si="91"/>
        <v>0</v>
      </c>
      <c r="AH112">
        <f>(EW112)</f>
        <v>0</v>
      </c>
      <c r="AI112">
        <f>(EX112)</f>
        <v>0</v>
      </c>
      <c r="AJ112">
        <f t="shared" si="92"/>
        <v>0</v>
      </c>
      <c r="AK112">
        <v>127.2</v>
      </c>
      <c r="AL112">
        <v>127.2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142</v>
      </c>
      <c r="AU112">
        <v>81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1</v>
      </c>
      <c r="BJ112" t="s">
        <v>143</v>
      </c>
      <c r="BM112">
        <v>27001</v>
      </c>
      <c r="BN112">
        <v>0</v>
      </c>
      <c r="BO112" t="s">
        <v>3</v>
      </c>
      <c r="BP112">
        <v>0</v>
      </c>
      <c r="BQ112">
        <v>2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142</v>
      </c>
      <c r="CA112">
        <v>95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93"/>
        <v>1655.61</v>
      </c>
      <c r="CQ112">
        <f t="shared" si="94"/>
        <v>127.2</v>
      </c>
      <c r="CR112">
        <f t="shared" si="95"/>
        <v>0</v>
      </c>
      <c r="CS112">
        <f t="shared" si="96"/>
        <v>0</v>
      </c>
      <c r="CT112">
        <f t="shared" si="97"/>
        <v>0</v>
      </c>
      <c r="CU112">
        <f t="shared" si="98"/>
        <v>0</v>
      </c>
      <c r="CV112">
        <f t="shared" si="99"/>
        <v>0</v>
      </c>
      <c r="CW112">
        <f t="shared" si="100"/>
        <v>0</v>
      </c>
      <c r="CX112">
        <f t="shared" si="101"/>
        <v>0</v>
      </c>
      <c r="CY112">
        <f t="shared" si="102"/>
        <v>0</v>
      </c>
      <c r="CZ112">
        <f t="shared" si="103"/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1007</v>
      </c>
      <c r="DV112" t="s">
        <v>130</v>
      </c>
      <c r="DW112" t="s">
        <v>130</v>
      </c>
      <c r="DX112">
        <v>1</v>
      </c>
      <c r="EE112">
        <v>39190938</v>
      </c>
      <c r="EF112">
        <v>2</v>
      </c>
      <c r="EG112" t="s">
        <v>31</v>
      </c>
      <c r="EH112">
        <v>0</v>
      </c>
      <c r="EI112" t="s">
        <v>3</v>
      </c>
      <c r="EJ112">
        <v>1</v>
      </c>
      <c r="EK112">
        <v>27001</v>
      </c>
      <c r="EL112" t="s">
        <v>32</v>
      </c>
      <c r="EM112" t="s">
        <v>33</v>
      </c>
      <c r="EO112" t="s">
        <v>3</v>
      </c>
      <c r="EQ112">
        <v>0</v>
      </c>
      <c r="ER112">
        <v>127.2</v>
      </c>
      <c r="ES112">
        <v>127.2</v>
      </c>
      <c r="ET112">
        <v>0</v>
      </c>
      <c r="EU112">
        <v>0</v>
      </c>
      <c r="EV112">
        <v>0</v>
      </c>
      <c r="EW112">
        <v>0</v>
      </c>
      <c r="EX112">
        <v>0</v>
      </c>
      <c r="FQ112">
        <v>0</v>
      </c>
      <c r="FR112">
        <f t="shared" si="104"/>
        <v>0</v>
      </c>
      <c r="FS112">
        <v>0</v>
      </c>
      <c r="FU112" t="s">
        <v>34</v>
      </c>
      <c r="FX112">
        <v>142</v>
      </c>
      <c r="FY112">
        <v>80.75</v>
      </c>
      <c r="GA112" t="s">
        <v>3</v>
      </c>
      <c r="GD112">
        <v>1</v>
      </c>
      <c r="GF112">
        <v>1276216311</v>
      </c>
      <c r="GG112">
        <v>2</v>
      </c>
      <c r="GH112">
        <v>1</v>
      </c>
      <c r="GI112">
        <v>-2</v>
      </c>
      <c r="GJ112">
        <v>0</v>
      </c>
      <c r="GK112">
        <v>0</v>
      </c>
      <c r="GL112">
        <f t="shared" si="105"/>
        <v>0</v>
      </c>
      <c r="GM112">
        <f t="shared" si="106"/>
        <v>1655.61</v>
      </c>
      <c r="GN112">
        <f t="shared" si="107"/>
        <v>1655.61</v>
      </c>
      <c r="GO112">
        <f t="shared" si="108"/>
        <v>0</v>
      </c>
      <c r="GP112">
        <f t="shared" si="109"/>
        <v>0</v>
      </c>
      <c r="GR112">
        <v>0</v>
      </c>
      <c r="GS112">
        <v>3</v>
      </c>
      <c r="GT112">
        <v>0</v>
      </c>
      <c r="GU112" t="s">
        <v>3</v>
      </c>
      <c r="GV112">
        <f t="shared" si="110"/>
        <v>0</v>
      </c>
      <c r="GW112">
        <v>1</v>
      </c>
      <c r="GX112">
        <f t="shared" si="111"/>
        <v>0</v>
      </c>
      <c r="HA112">
        <v>0</v>
      </c>
      <c r="HB112">
        <v>0</v>
      </c>
      <c r="HC112">
        <f t="shared" si="112"/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ROW(SmtRes!A49)</f>
        <v>49</v>
      </c>
      <c r="D113">
        <f>ROW(EtalonRes!A50)</f>
        <v>50</v>
      </c>
      <c r="E113" t="s">
        <v>144</v>
      </c>
      <c r="F113" t="s">
        <v>145</v>
      </c>
      <c r="G113" t="s">
        <v>146</v>
      </c>
      <c r="H113" t="s">
        <v>147</v>
      </c>
      <c r="I113">
        <f>ROUND(I117*1000*0.0006,4)</f>
        <v>0.65559999999999996</v>
      </c>
      <c r="J113">
        <v>0</v>
      </c>
      <c r="O113">
        <f t="shared" si="78"/>
        <v>994.16</v>
      </c>
      <c r="P113">
        <f t="shared" si="79"/>
        <v>961.82</v>
      </c>
      <c r="Q113">
        <f t="shared" si="80"/>
        <v>32.340000000000003</v>
      </c>
      <c r="R113">
        <f t="shared" si="81"/>
        <v>5.76</v>
      </c>
      <c r="S113">
        <f t="shared" si="82"/>
        <v>0</v>
      </c>
      <c r="T113">
        <f t="shared" si="83"/>
        <v>0</v>
      </c>
      <c r="U113">
        <f t="shared" si="84"/>
        <v>0</v>
      </c>
      <c r="V113">
        <f t="shared" si="85"/>
        <v>0.54086999999999996</v>
      </c>
      <c r="W113">
        <f t="shared" si="86"/>
        <v>0</v>
      </c>
      <c r="X113">
        <f t="shared" si="87"/>
        <v>8.18</v>
      </c>
      <c r="Y113">
        <f t="shared" si="88"/>
        <v>4.67</v>
      </c>
      <c r="AA113">
        <v>39201625</v>
      </c>
      <c r="AB113">
        <f t="shared" si="89"/>
        <v>1516.41</v>
      </c>
      <c r="AC113">
        <f t="shared" si="90"/>
        <v>1467.08</v>
      </c>
      <c r="AD113">
        <f>ROUND(((((ET113*1.25))-((EU113*1.25)))+AE113),2)</f>
        <v>49.33</v>
      </c>
      <c r="AE113">
        <f>ROUND(((EU113*1.25)),2)</f>
        <v>8.7799999999999994</v>
      </c>
      <c r="AF113">
        <f>ROUND(((EV113*1.15)),2)</f>
        <v>0</v>
      </c>
      <c r="AG113">
        <f t="shared" si="91"/>
        <v>0</v>
      </c>
      <c r="AH113">
        <f>((EW113*1.15))</f>
        <v>0</v>
      </c>
      <c r="AI113">
        <f>((EX113*1.25))</f>
        <v>0.82500000000000007</v>
      </c>
      <c r="AJ113">
        <f t="shared" si="92"/>
        <v>0</v>
      </c>
      <c r="AK113">
        <v>1506.54</v>
      </c>
      <c r="AL113">
        <v>1467.08</v>
      </c>
      <c r="AM113">
        <v>39.46</v>
      </c>
      <c r="AN113">
        <v>7.02</v>
      </c>
      <c r="AO113">
        <v>0</v>
      </c>
      <c r="AP113">
        <v>0</v>
      </c>
      <c r="AQ113">
        <v>0</v>
      </c>
      <c r="AR113">
        <v>0.66</v>
      </c>
      <c r="AS113">
        <v>0</v>
      </c>
      <c r="AT113">
        <v>142</v>
      </c>
      <c r="AU113">
        <v>81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148</v>
      </c>
      <c r="BM113">
        <v>27001</v>
      </c>
      <c r="BN113">
        <v>0</v>
      </c>
      <c r="BO113" t="s">
        <v>3</v>
      </c>
      <c r="BP113">
        <v>0</v>
      </c>
      <c r="BQ113">
        <v>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142</v>
      </c>
      <c r="CA113">
        <v>95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3"/>
        <v>994.16000000000008</v>
      </c>
      <c r="CQ113">
        <f t="shared" si="94"/>
        <v>1467.08</v>
      </c>
      <c r="CR113">
        <f t="shared" si="95"/>
        <v>49.33</v>
      </c>
      <c r="CS113">
        <f t="shared" si="96"/>
        <v>8.7799999999999994</v>
      </c>
      <c r="CT113">
        <f t="shared" si="97"/>
        <v>0</v>
      </c>
      <c r="CU113">
        <f t="shared" si="98"/>
        <v>0</v>
      </c>
      <c r="CV113">
        <f t="shared" si="99"/>
        <v>0</v>
      </c>
      <c r="CW113">
        <f t="shared" si="100"/>
        <v>0.82500000000000007</v>
      </c>
      <c r="CX113">
        <f t="shared" si="101"/>
        <v>0</v>
      </c>
      <c r="CY113">
        <f t="shared" si="102"/>
        <v>8.1791999999999998</v>
      </c>
      <c r="CZ113">
        <f t="shared" si="103"/>
        <v>4.6656000000000004</v>
      </c>
      <c r="DC113" t="s">
        <v>3</v>
      </c>
      <c r="DD113" t="s">
        <v>3</v>
      </c>
      <c r="DE113" t="s">
        <v>12</v>
      </c>
      <c r="DF113" t="s">
        <v>12</v>
      </c>
      <c r="DG113" t="s">
        <v>13</v>
      </c>
      <c r="DH113" t="s">
        <v>3</v>
      </c>
      <c r="DI113" t="s">
        <v>13</v>
      </c>
      <c r="DJ113" t="s">
        <v>12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147</v>
      </c>
      <c r="DW113" t="s">
        <v>147</v>
      </c>
      <c r="DX113">
        <v>1</v>
      </c>
      <c r="EE113">
        <v>39190938</v>
      </c>
      <c r="EF113">
        <v>2</v>
      </c>
      <c r="EG113" t="s">
        <v>31</v>
      </c>
      <c r="EH113">
        <v>0</v>
      </c>
      <c r="EI113" t="s">
        <v>3</v>
      </c>
      <c r="EJ113">
        <v>1</v>
      </c>
      <c r="EK113">
        <v>27001</v>
      </c>
      <c r="EL113" t="s">
        <v>32</v>
      </c>
      <c r="EM113" t="s">
        <v>33</v>
      </c>
      <c r="EO113" t="s">
        <v>3</v>
      </c>
      <c r="EQ113">
        <v>131072</v>
      </c>
      <c r="ER113">
        <v>1506.54</v>
      </c>
      <c r="ES113">
        <v>1467.08</v>
      </c>
      <c r="ET113">
        <v>39.46</v>
      </c>
      <c r="EU113">
        <v>7.02</v>
      </c>
      <c r="EV113">
        <v>0</v>
      </c>
      <c r="EW113">
        <v>0</v>
      </c>
      <c r="EX113">
        <v>0.66</v>
      </c>
      <c r="EY113">
        <v>0</v>
      </c>
      <c r="FQ113">
        <v>0</v>
      </c>
      <c r="FR113">
        <f t="shared" si="104"/>
        <v>0</v>
      </c>
      <c r="FS113">
        <v>0</v>
      </c>
      <c r="FU113" t="s">
        <v>34</v>
      </c>
      <c r="FX113">
        <v>142</v>
      </c>
      <c r="FY113">
        <v>80.75</v>
      </c>
      <c r="GA113" t="s">
        <v>3</v>
      </c>
      <c r="GD113">
        <v>1</v>
      </c>
      <c r="GF113">
        <v>1039940287</v>
      </c>
      <c r="GG113">
        <v>2</v>
      </c>
      <c r="GH113">
        <v>0</v>
      </c>
      <c r="GI113">
        <v>0</v>
      </c>
      <c r="GJ113">
        <v>0</v>
      </c>
      <c r="GK113">
        <v>0</v>
      </c>
      <c r="GL113">
        <f t="shared" si="105"/>
        <v>0</v>
      </c>
      <c r="GM113">
        <f t="shared" si="106"/>
        <v>1007.01</v>
      </c>
      <c r="GN113">
        <f t="shared" si="107"/>
        <v>1007.01</v>
      </c>
      <c r="GO113">
        <f t="shared" si="108"/>
        <v>0</v>
      </c>
      <c r="GP113">
        <f t="shared" si="109"/>
        <v>0</v>
      </c>
      <c r="GR113">
        <v>0</v>
      </c>
      <c r="GS113">
        <v>0</v>
      </c>
      <c r="GT113">
        <v>0</v>
      </c>
      <c r="GU113" t="s">
        <v>3</v>
      </c>
      <c r="GV113">
        <f t="shared" si="110"/>
        <v>0</v>
      </c>
      <c r="GW113">
        <v>1</v>
      </c>
      <c r="GX113">
        <f t="shared" si="111"/>
        <v>0</v>
      </c>
      <c r="HA113">
        <v>0</v>
      </c>
      <c r="HB113">
        <v>0</v>
      </c>
      <c r="HC113">
        <f t="shared" si="112"/>
        <v>0</v>
      </c>
      <c r="IK113">
        <v>0</v>
      </c>
    </row>
    <row r="114" spans="1:245" x14ac:dyDescent="0.2">
      <c r="A114">
        <v>17</v>
      </c>
      <c r="B114">
        <v>1</v>
      </c>
      <c r="C114">
        <f>ROW(SmtRes!A63)</f>
        <v>63</v>
      </c>
      <c r="D114">
        <f>ROW(EtalonRes!A64)</f>
        <v>64</v>
      </c>
      <c r="E114" t="s">
        <v>149</v>
      </c>
      <c r="F114" t="s">
        <v>150</v>
      </c>
      <c r="G114" t="s">
        <v>151</v>
      </c>
      <c r="H114" t="s">
        <v>152</v>
      </c>
      <c r="I114">
        <f>ROUND((I117*1000)/1000,4)</f>
        <v>1.0926</v>
      </c>
      <c r="J114">
        <v>0</v>
      </c>
      <c r="O114">
        <f t="shared" si="78"/>
        <v>48309.91</v>
      </c>
      <c r="P114">
        <f t="shared" si="79"/>
        <v>44672.79</v>
      </c>
      <c r="Q114">
        <f t="shared" si="80"/>
        <v>3260.32</v>
      </c>
      <c r="R114">
        <f t="shared" si="81"/>
        <v>352.42</v>
      </c>
      <c r="S114">
        <f t="shared" si="82"/>
        <v>376.8</v>
      </c>
      <c r="T114">
        <f t="shared" si="83"/>
        <v>0</v>
      </c>
      <c r="U114">
        <f t="shared" si="84"/>
        <v>48.123566999999994</v>
      </c>
      <c r="V114">
        <f t="shared" si="85"/>
        <v>26.085825</v>
      </c>
      <c r="W114">
        <f t="shared" si="86"/>
        <v>0</v>
      </c>
      <c r="X114">
        <f t="shared" si="87"/>
        <v>1035.49</v>
      </c>
      <c r="Y114">
        <f t="shared" si="88"/>
        <v>590.66999999999996</v>
      </c>
      <c r="AA114">
        <v>39201625</v>
      </c>
      <c r="AB114">
        <f t="shared" si="89"/>
        <v>44215.55</v>
      </c>
      <c r="AC114">
        <f t="shared" si="90"/>
        <v>40886.68</v>
      </c>
      <c r="AD114">
        <f>ROUND(((((ET114*1.25))-((EU114*1.25)))+AE114),2)</f>
        <v>2984</v>
      </c>
      <c r="AE114">
        <f>ROUND(((EU114*1.25)),2)</f>
        <v>322.55</v>
      </c>
      <c r="AF114">
        <f>ROUND(((EV114*1.15)),2)</f>
        <v>344.87</v>
      </c>
      <c r="AG114">
        <f t="shared" si="91"/>
        <v>0</v>
      </c>
      <c r="AH114">
        <f>((EW114*1.15))</f>
        <v>44.044999999999995</v>
      </c>
      <c r="AI114">
        <f>((EX114*1.25))</f>
        <v>23.875</v>
      </c>
      <c r="AJ114">
        <f t="shared" si="92"/>
        <v>0</v>
      </c>
      <c r="AK114">
        <v>43573.77</v>
      </c>
      <c r="AL114">
        <v>40886.68</v>
      </c>
      <c r="AM114">
        <v>2387.1999999999998</v>
      </c>
      <c r="AN114">
        <v>258.04000000000002</v>
      </c>
      <c r="AO114">
        <v>299.89</v>
      </c>
      <c r="AP114">
        <v>0</v>
      </c>
      <c r="AQ114">
        <v>38.299999999999997</v>
      </c>
      <c r="AR114">
        <v>19.100000000000001</v>
      </c>
      <c r="AS114">
        <v>0</v>
      </c>
      <c r="AT114">
        <v>142</v>
      </c>
      <c r="AU114">
        <v>81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153</v>
      </c>
      <c r="BM114">
        <v>27001</v>
      </c>
      <c r="BN114">
        <v>0</v>
      </c>
      <c r="BO114" t="s">
        <v>3</v>
      </c>
      <c r="BP114">
        <v>0</v>
      </c>
      <c r="BQ114">
        <v>2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142</v>
      </c>
      <c r="CA114">
        <v>95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3"/>
        <v>48309.91</v>
      </c>
      <c r="CQ114">
        <f t="shared" si="94"/>
        <v>40886.68</v>
      </c>
      <c r="CR114">
        <f t="shared" si="95"/>
        <v>2984</v>
      </c>
      <c r="CS114">
        <f t="shared" si="96"/>
        <v>322.55</v>
      </c>
      <c r="CT114">
        <f t="shared" si="97"/>
        <v>344.87</v>
      </c>
      <c r="CU114">
        <f t="shared" si="98"/>
        <v>0</v>
      </c>
      <c r="CV114">
        <f t="shared" si="99"/>
        <v>44.044999999999995</v>
      </c>
      <c r="CW114">
        <f t="shared" si="100"/>
        <v>23.875</v>
      </c>
      <c r="CX114">
        <f t="shared" si="101"/>
        <v>0</v>
      </c>
      <c r="CY114">
        <f t="shared" si="102"/>
        <v>1035.4924000000001</v>
      </c>
      <c r="CZ114">
        <f t="shared" si="103"/>
        <v>590.66819999999996</v>
      </c>
      <c r="DC114" t="s">
        <v>3</v>
      </c>
      <c r="DD114" t="s">
        <v>3</v>
      </c>
      <c r="DE114" t="s">
        <v>138</v>
      </c>
      <c r="DF114" t="s">
        <v>138</v>
      </c>
      <c r="DG114" t="s">
        <v>139</v>
      </c>
      <c r="DH114" t="s">
        <v>3</v>
      </c>
      <c r="DI114" t="s">
        <v>139</v>
      </c>
      <c r="DJ114" t="s">
        <v>138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152</v>
      </c>
      <c r="DW114" t="s">
        <v>152</v>
      </c>
      <c r="DX114">
        <v>1</v>
      </c>
      <c r="EE114">
        <v>39190938</v>
      </c>
      <c r="EF114">
        <v>2</v>
      </c>
      <c r="EG114" t="s">
        <v>31</v>
      </c>
      <c r="EH114">
        <v>0</v>
      </c>
      <c r="EI114" t="s">
        <v>3</v>
      </c>
      <c r="EJ114">
        <v>1</v>
      </c>
      <c r="EK114">
        <v>27001</v>
      </c>
      <c r="EL114" t="s">
        <v>32</v>
      </c>
      <c r="EM114" t="s">
        <v>33</v>
      </c>
      <c r="EO114" t="s">
        <v>3</v>
      </c>
      <c r="EQ114">
        <v>131072</v>
      </c>
      <c r="ER114">
        <v>43573.77</v>
      </c>
      <c r="ES114">
        <v>40886.68</v>
      </c>
      <c r="ET114">
        <v>2387.1999999999998</v>
      </c>
      <c r="EU114">
        <v>258.04000000000002</v>
      </c>
      <c r="EV114">
        <v>299.89</v>
      </c>
      <c r="EW114">
        <v>38.299999999999997</v>
      </c>
      <c r="EX114">
        <v>19.100000000000001</v>
      </c>
      <c r="EY114">
        <v>0</v>
      </c>
      <c r="FQ114">
        <v>0</v>
      </c>
      <c r="FR114">
        <f t="shared" si="104"/>
        <v>0</v>
      </c>
      <c r="FS114">
        <v>0</v>
      </c>
      <c r="FU114" t="s">
        <v>34</v>
      </c>
      <c r="FX114">
        <v>142</v>
      </c>
      <c r="FY114">
        <v>80.75</v>
      </c>
      <c r="GA114" t="s">
        <v>3</v>
      </c>
      <c r="GD114">
        <v>1</v>
      </c>
      <c r="GF114">
        <v>692935427</v>
      </c>
      <c r="GG114">
        <v>2</v>
      </c>
      <c r="GH114">
        <v>0</v>
      </c>
      <c r="GI114">
        <v>0</v>
      </c>
      <c r="GJ114">
        <v>0</v>
      </c>
      <c r="GK114">
        <v>0</v>
      </c>
      <c r="GL114">
        <f t="shared" si="105"/>
        <v>0</v>
      </c>
      <c r="GM114">
        <f t="shared" si="106"/>
        <v>49936.07</v>
      </c>
      <c r="GN114">
        <f t="shared" si="107"/>
        <v>49936.07</v>
      </c>
      <c r="GO114">
        <f t="shared" si="108"/>
        <v>0</v>
      </c>
      <c r="GP114">
        <f t="shared" si="109"/>
        <v>0</v>
      </c>
      <c r="GR114">
        <v>0</v>
      </c>
      <c r="GS114">
        <v>0</v>
      </c>
      <c r="GT114">
        <v>0</v>
      </c>
      <c r="GU114" t="s">
        <v>3</v>
      </c>
      <c r="GV114">
        <f t="shared" si="110"/>
        <v>0</v>
      </c>
      <c r="GW114">
        <v>1</v>
      </c>
      <c r="GX114">
        <f t="shared" si="111"/>
        <v>0</v>
      </c>
      <c r="HA114">
        <v>0</v>
      </c>
      <c r="HB114">
        <v>0</v>
      </c>
      <c r="HC114">
        <f t="shared" si="112"/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ROW(SmtRes!A66)</f>
        <v>66</v>
      </c>
      <c r="D115">
        <f>ROW(EtalonRes!A67)</f>
        <v>67</v>
      </c>
      <c r="E115" t="s">
        <v>154</v>
      </c>
      <c r="F115" t="s">
        <v>155</v>
      </c>
      <c r="G115" t="s">
        <v>156</v>
      </c>
      <c r="H115" t="s">
        <v>152</v>
      </c>
      <c r="I115">
        <f>ROUND((I114*1000)/1000,4)</f>
        <v>1.0926</v>
      </c>
      <c r="J115">
        <v>0</v>
      </c>
      <c r="O115">
        <f t="shared" si="78"/>
        <v>11060.36</v>
      </c>
      <c r="P115">
        <f t="shared" si="79"/>
        <v>11058.6</v>
      </c>
      <c r="Q115">
        <f t="shared" si="80"/>
        <v>0</v>
      </c>
      <c r="R115">
        <f t="shared" si="81"/>
        <v>0</v>
      </c>
      <c r="S115">
        <f t="shared" si="82"/>
        <v>1.76</v>
      </c>
      <c r="T115">
        <f t="shared" si="83"/>
        <v>0</v>
      </c>
      <c r="U115">
        <f t="shared" si="84"/>
        <v>0.22616819999999999</v>
      </c>
      <c r="V115">
        <f t="shared" si="85"/>
        <v>0</v>
      </c>
      <c r="W115">
        <f t="shared" si="86"/>
        <v>0</v>
      </c>
      <c r="X115">
        <f t="shared" si="87"/>
        <v>2.5</v>
      </c>
      <c r="Y115">
        <f t="shared" si="88"/>
        <v>1.43</v>
      </c>
      <c r="AA115">
        <v>39201625</v>
      </c>
      <c r="AB115">
        <f t="shared" si="89"/>
        <v>10122.969999999999</v>
      </c>
      <c r="AC115">
        <f>ROUND(((ES115*2)),2)</f>
        <v>10121.36</v>
      </c>
      <c r="AD115">
        <f>ROUND((((((ET115*1.25)*2))-(((EU115*1.25)*2)))+AE115),2)</f>
        <v>0</v>
      </c>
      <c r="AE115">
        <f>ROUND((((EU115*1.25)*2)),2)</f>
        <v>0</v>
      </c>
      <c r="AF115">
        <f>ROUND((((EV115*1.15)*2)),2)</f>
        <v>1.61</v>
      </c>
      <c r="AG115">
        <f t="shared" si="91"/>
        <v>0</v>
      </c>
      <c r="AH115">
        <f>(((EW115*1.15)*2))</f>
        <v>0.20699999999999999</v>
      </c>
      <c r="AI115">
        <f>(((EX115*1.25)*2))</f>
        <v>0</v>
      </c>
      <c r="AJ115">
        <f t="shared" si="92"/>
        <v>0</v>
      </c>
      <c r="AK115">
        <v>5061.38</v>
      </c>
      <c r="AL115">
        <v>5060.68</v>
      </c>
      <c r="AM115">
        <v>0</v>
      </c>
      <c r="AN115">
        <v>0</v>
      </c>
      <c r="AO115">
        <v>0.7</v>
      </c>
      <c r="AP115">
        <v>0</v>
      </c>
      <c r="AQ115">
        <v>0.09</v>
      </c>
      <c r="AR115">
        <v>0</v>
      </c>
      <c r="AS115">
        <v>0</v>
      </c>
      <c r="AT115">
        <v>142</v>
      </c>
      <c r="AU115">
        <v>81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157</v>
      </c>
      <c r="BM115">
        <v>27001</v>
      </c>
      <c r="BN115">
        <v>0</v>
      </c>
      <c r="BO115" t="s">
        <v>3</v>
      </c>
      <c r="BP115">
        <v>0</v>
      </c>
      <c r="BQ115">
        <v>2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142</v>
      </c>
      <c r="CA115">
        <v>95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3"/>
        <v>11060.36</v>
      </c>
      <c r="CQ115">
        <f t="shared" si="94"/>
        <v>10121.36</v>
      </c>
      <c r="CR115">
        <f t="shared" si="95"/>
        <v>0</v>
      </c>
      <c r="CS115">
        <f t="shared" si="96"/>
        <v>0</v>
      </c>
      <c r="CT115">
        <f t="shared" si="97"/>
        <v>1.61</v>
      </c>
      <c r="CU115">
        <f t="shared" si="98"/>
        <v>0</v>
      </c>
      <c r="CV115">
        <f t="shared" si="99"/>
        <v>0.20699999999999999</v>
      </c>
      <c r="CW115">
        <f t="shared" si="100"/>
        <v>0</v>
      </c>
      <c r="CX115">
        <f t="shared" si="101"/>
        <v>0</v>
      </c>
      <c r="CY115">
        <f t="shared" si="102"/>
        <v>2.4992000000000001</v>
      </c>
      <c r="CZ115">
        <f t="shared" si="103"/>
        <v>1.4256</v>
      </c>
      <c r="DC115" t="s">
        <v>3</v>
      </c>
      <c r="DD115" t="s">
        <v>158</v>
      </c>
      <c r="DE115" t="s">
        <v>159</v>
      </c>
      <c r="DF115" t="s">
        <v>159</v>
      </c>
      <c r="DG115" t="s">
        <v>160</v>
      </c>
      <c r="DH115" t="s">
        <v>3</v>
      </c>
      <c r="DI115" t="s">
        <v>160</v>
      </c>
      <c r="DJ115" t="s">
        <v>159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152</v>
      </c>
      <c r="DW115" t="s">
        <v>152</v>
      </c>
      <c r="DX115">
        <v>1</v>
      </c>
      <c r="EE115">
        <v>39190938</v>
      </c>
      <c r="EF115">
        <v>2</v>
      </c>
      <c r="EG115" t="s">
        <v>31</v>
      </c>
      <c r="EH115">
        <v>0</v>
      </c>
      <c r="EI115" t="s">
        <v>3</v>
      </c>
      <c r="EJ115">
        <v>1</v>
      </c>
      <c r="EK115">
        <v>27001</v>
      </c>
      <c r="EL115" t="s">
        <v>32</v>
      </c>
      <c r="EM115" t="s">
        <v>33</v>
      </c>
      <c r="EO115" t="s">
        <v>3</v>
      </c>
      <c r="EQ115">
        <v>131072</v>
      </c>
      <c r="ER115">
        <v>5061.38</v>
      </c>
      <c r="ES115">
        <v>5060.68</v>
      </c>
      <c r="ET115">
        <v>0</v>
      </c>
      <c r="EU115">
        <v>0</v>
      </c>
      <c r="EV115">
        <v>0.7</v>
      </c>
      <c r="EW115">
        <v>0.09</v>
      </c>
      <c r="EX115">
        <v>0</v>
      </c>
      <c r="EY115">
        <v>0</v>
      </c>
      <c r="FQ115">
        <v>0</v>
      </c>
      <c r="FR115">
        <f t="shared" si="104"/>
        <v>0</v>
      </c>
      <c r="FS115">
        <v>0</v>
      </c>
      <c r="FU115" t="s">
        <v>34</v>
      </c>
      <c r="FX115">
        <v>142</v>
      </c>
      <c r="FY115">
        <v>80.75</v>
      </c>
      <c r="GA115" t="s">
        <v>3</v>
      </c>
      <c r="GD115">
        <v>1</v>
      </c>
      <c r="GF115">
        <v>-253943095</v>
      </c>
      <c r="GG115">
        <v>2</v>
      </c>
      <c r="GH115">
        <v>0</v>
      </c>
      <c r="GI115">
        <v>0</v>
      </c>
      <c r="GJ115">
        <v>0</v>
      </c>
      <c r="GK115">
        <v>0</v>
      </c>
      <c r="GL115">
        <f t="shared" si="105"/>
        <v>0</v>
      </c>
      <c r="GM115">
        <f t="shared" si="106"/>
        <v>11064.29</v>
      </c>
      <c r="GN115">
        <f t="shared" si="107"/>
        <v>11064.29</v>
      </c>
      <c r="GO115">
        <f t="shared" si="108"/>
        <v>0</v>
      </c>
      <c r="GP115">
        <f t="shared" si="109"/>
        <v>0</v>
      </c>
      <c r="GR115">
        <v>0</v>
      </c>
      <c r="GS115">
        <v>0</v>
      </c>
      <c r="GT115">
        <v>0</v>
      </c>
      <c r="GU115" t="s">
        <v>3</v>
      </c>
      <c r="GV115">
        <f t="shared" si="110"/>
        <v>0</v>
      </c>
      <c r="GW115">
        <v>1</v>
      </c>
      <c r="GX115">
        <f t="shared" si="111"/>
        <v>0</v>
      </c>
      <c r="HA115">
        <v>0</v>
      </c>
      <c r="HB115">
        <v>0</v>
      </c>
      <c r="HC115">
        <f t="shared" si="112"/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ROW(SmtRes!A69)</f>
        <v>69</v>
      </c>
      <c r="D116">
        <f>ROW(EtalonRes!A70)</f>
        <v>70</v>
      </c>
      <c r="E116" t="s">
        <v>161</v>
      </c>
      <c r="F116" t="s">
        <v>145</v>
      </c>
      <c r="G116" t="s">
        <v>146</v>
      </c>
      <c r="H116" t="s">
        <v>147</v>
      </c>
      <c r="I116">
        <f>ROUND(I117*1000*0.0003,4)</f>
        <v>0.32779999999999998</v>
      </c>
      <c r="J116">
        <v>0</v>
      </c>
      <c r="O116">
        <f t="shared" si="78"/>
        <v>497.08</v>
      </c>
      <c r="P116">
        <f t="shared" si="79"/>
        <v>480.91</v>
      </c>
      <c r="Q116">
        <f t="shared" si="80"/>
        <v>16.170000000000002</v>
      </c>
      <c r="R116">
        <f t="shared" si="81"/>
        <v>2.88</v>
      </c>
      <c r="S116">
        <f t="shared" si="82"/>
        <v>0</v>
      </c>
      <c r="T116">
        <f t="shared" si="83"/>
        <v>0</v>
      </c>
      <c r="U116">
        <f t="shared" si="84"/>
        <v>0</v>
      </c>
      <c r="V116">
        <f t="shared" si="85"/>
        <v>0.27043499999999998</v>
      </c>
      <c r="W116">
        <f t="shared" si="86"/>
        <v>0</v>
      </c>
      <c r="X116">
        <f t="shared" si="87"/>
        <v>4.09</v>
      </c>
      <c r="Y116">
        <f t="shared" si="88"/>
        <v>2.33</v>
      </c>
      <c r="AA116">
        <v>39201625</v>
      </c>
      <c r="AB116">
        <f t="shared" si="89"/>
        <v>1516.41</v>
      </c>
      <c r="AC116">
        <f>ROUND((ES116),2)</f>
        <v>1467.08</v>
      </c>
      <c r="AD116">
        <f>ROUND(((((ET116*1.25))-((EU116*1.25)))+AE116),2)</f>
        <v>49.33</v>
      </c>
      <c r="AE116">
        <f>ROUND(((EU116*1.25)),2)</f>
        <v>8.7799999999999994</v>
      </c>
      <c r="AF116">
        <f>ROUND(((EV116*1.15)),2)</f>
        <v>0</v>
      </c>
      <c r="AG116">
        <f t="shared" si="91"/>
        <v>0</v>
      </c>
      <c r="AH116">
        <f>((EW116*1.15))</f>
        <v>0</v>
      </c>
      <c r="AI116">
        <f>((EX116*1.25))</f>
        <v>0.82500000000000007</v>
      </c>
      <c r="AJ116">
        <f t="shared" si="92"/>
        <v>0</v>
      </c>
      <c r="AK116">
        <v>1506.54</v>
      </c>
      <c r="AL116">
        <v>1467.08</v>
      </c>
      <c r="AM116">
        <v>39.46</v>
      </c>
      <c r="AN116">
        <v>7.02</v>
      </c>
      <c r="AO116">
        <v>0</v>
      </c>
      <c r="AP116">
        <v>0</v>
      </c>
      <c r="AQ116">
        <v>0</v>
      </c>
      <c r="AR116">
        <v>0.66</v>
      </c>
      <c r="AS116">
        <v>0</v>
      </c>
      <c r="AT116">
        <v>142</v>
      </c>
      <c r="AU116">
        <v>81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148</v>
      </c>
      <c r="BM116">
        <v>27001</v>
      </c>
      <c r="BN116">
        <v>0</v>
      </c>
      <c r="BO116" t="s">
        <v>3</v>
      </c>
      <c r="BP116">
        <v>0</v>
      </c>
      <c r="BQ116">
        <v>2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142</v>
      </c>
      <c r="CA116">
        <v>95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3"/>
        <v>497.08000000000004</v>
      </c>
      <c r="CQ116">
        <f t="shared" si="94"/>
        <v>1467.08</v>
      </c>
      <c r="CR116">
        <f t="shared" si="95"/>
        <v>49.33</v>
      </c>
      <c r="CS116">
        <f t="shared" si="96"/>
        <v>8.7799999999999994</v>
      </c>
      <c r="CT116">
        <f t="shared" si="97"/>
        <v>0</v>
      </c>
      <c r="CU116">
        <f t="shared" si="98"/>
        <v>0</v>
      </c>
      <c r="CV116">
        <f t="shared" si="99"/>
        <v>0</v>
      </c>
      <c r="CW116">
        <f t="shared" si="100"/>
        <v>0.82500000000000007</v>
      </c>
      <c r="CX116">
        <f t="shared" si="101"/>
        <v>0</v>
      </c>
      <c r="CY116">
        <f t="shared" si="102"/>
        <v>4.0895999999999999</v>
      </c>
      <c r="CZ116">
        <f t="shared" si="103"/>
        <v>2.3328000000000002</v>
      </c>
      <c r="DC116" t="s">
        <v>3</v>
      </c>
      <c r="DD116" t="s">
        <v>3</v>
      </c>
      <c r="DE116" t="s">
        <v>12</v>
      </c>
      <c r="DF116" t="s">
        <v>12</v>
      </c>
      <c r="DG116" t="s">
        <v>13</v>
      </c>
      <c r="DH116" t="s">
        <v>3</v>
      </c>
      <c r="DI116" t="s">
        <v>13</v>
      </c>
      <c r="DJ116" t="s">
        <v>12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147</v>
      </c>
      <c r="DW116" t="s">
        <v>147</v>
      </c>
      <c r="DX116">
        <v>1</v>
      </c>
      <c r="EE116">
        <v>39190938</v>
      </c>
      <c r="EF116">
        <v>2</v>
      </c>
      <c r="EG116" t="s">
        <v>31</v>
      </c>
      <c r="EH116">
        <v>0</v>
      </c>
      <c r="EI116" t="s">
        <v>3</v>
      </c>
      <c r="EJ116">
        <v>1</v>
      </c>
      <c r="EK116">
        <v>27001</v>
      </c>
      <c r="EL116" t="s">
        <v>32</v>
      </c>
      <c r="EM116" t="s">
        <v>33</v>
      </c>
      <c r="EO116" t="s">
        <v>3</v>
      </c>
      <c r="EQ116">
        <v>131072</v>
      </c>
      <c r="ER116">
        <v>1506.54</v>
      </c>
      <c r="ES116">
        <v>1467.08</v>
      </c>
      <c r="ET116">
        <v>39.46</v>
      </c>
      <c r="EU116">
        <v>7.02</v>
      </c>
      <c r="EV116">
        <v>0</v>
      </c>
      <c r="EW116">
        <v>0</v>
      </c>
      <c r="EX116">
        <v>0.66</v>
      </c>
      <c r="EY116">
        <v>0</v>
      </c>
      <c r="FQ116">
        <v>0</v>
      </c>
      <c r="FR116">
        <f t="shared" si="104"/>
        <v>0</v>
      </c>
      <c r="FS116">
        <v>0</v>
      </c>
      <c r="FU116" t="s">
        <v>34</v>
      </c>
      <c r="FX116">
        <v>142</v>
      </c>
      <c r="FY116">
        <v>80.75</v>
      </c>
      <c r="GA116" t="s">
        <v>3</v>
      </c>
      <c r="GD116">
        <v>1</v>
      </c>
      <c r="GF116">
        <v>1039940287</v>
      </c>
      <c r="GG116">
        <v>2</v>
      </c>
      <c r="GH116">
        <v>0</v>
      </c>
      <c r="GI116">
        <v>0</v>
      </c>
      <c r="GJ116">
        <v>0</v>
      </c>
      <c r="GK116">
        <v>0</v>
      </c>
      <c r="GL116">
        <f t="shared" si="105"/>
        <v>0</v>
      </c>
      <c r="GM116">
        <f t="shared" si="106"/>
        <v>503.5</v>
      </c>
      <c r="GN116">
        <f t="shared" si="107"/>
        <v>503.5</v>
      </c>
      <c r="GO116">
        <f t="shared" si="108"/>
        <v>0</v>
      </c>
      <c r="GP116">
        <f t="shared" si="109"/>
        <v>0</v>
      </c>
      <c r="GR116">
        <v>0</v>
      </c>
      <c r="GS116">
        <v>0</v>
      </c>
      <c r="GT116">
        <v>0</v>
      </c>
      <c r="GU116" t="s">
        <v>3</v>
      </c>
      <c r="GV116">
        <f t="shared" si="110"/>
        <v>0</v>
      </c>
      <c r="GW116">
        <v>1</v>
      </c>
      <c r="GX116">
        <f t="shared" si="111"/>
        <v>0</v>
      </c>
      <c r="HA116">
        <v>0</v>
      </c>
      <c r="HB116">
        <v>0</v>
      </c>
      <c r="HC116">
        <f t="shared" si="112"/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ROW(SmtRes!A83)</f>
        <v>83</v>
      </c>
      <c r="D117">
        <f>ROW(EtalonRes!A83)</f>
        <v>83</v>
      </c>
      <c r="E117" t="s">
        <v>162</v>
      </c>
      <c r="F117" t="s">
        <v>163</v>
      </c>
      <c r="G117" t="s">
        <v>164</v>
      </c>
      <c r="H117" t="s">
        <v>152</v>
      </c>
      <c r="I117">
        <f>ROUND(1092.55/1000,4)</f>
        <v>1.0926</v>
      </c>
      <c r="J117">
        <v>0</v>
      </c>
      <c r="O117">
        <f t="shared" si="78"/>
        <v>48438.23</v>
      </c>
      <c r="P117">
        <f t="shared" si="79"/>
        <v>44808.9</v>
      </c>
      <c r="Q117">
        <f t="shared" si="80"/>
        <v>3252.53</v>
      </c>
      <c r="R117">
        <f t="shared" si="81"/>
        <v>352.05</v>
      </c>
      <c r="S117">
        <f t="shared" si="82"/>
        <v>376.8</v>
      </c>
      <c r="T117">
        <f t="shared" si="83"/>
        <v>0</v>
      </c>
      <c r="U117">
        <f t="shared" si="84"/>
        <v>48.123566999999994</v>
      </c>
      <c r="V117">
        <f t="shared" si="85"/>
        <v>26.058509999999998</v>
      </c>
      <c r="W117">
        <f t="shared" si="86"/>
        <v>0</v>
      </c>
      <c r="X117">
        <f t="shared" si="87"/>
        <v>1034.97</v>
      </c>
      <c r="Y117">
        <f t="shared" si="88"/>
        <v>590.37</v>
      </c>
      <c r="AA117">
        <v>39201625</v>
      </c>
      <c r="AB117">
        <f t="shared" si="89"/>
        <v>44333</v>
      </c>
      <c r="AC117">
        <f>ROUND((ES117),2)</f>
        <v>41011.26</v>
      </c>
      <c r="AD117">
        <f>ROUND(((((ET117*1.25))-((EU117*1.25)))+AE117),2)</f>
        <v>2976.87</v>
      </c>
      <c r="AE117">
        <f>ROUND(((EU117*1.25)),2)</f>
        <v>322.20999999999998</v>
      </c>
      <c r="AF117">
        <f>ROUND(((EV117*1.15)),2)</f>
        <v>344.87</v>
      </c>
      <c r="AG117">
        <f t="shared" si="91"/>
        <v>0</v>
      </c>
      <c r="AH117">
        <f>((EW117*1.15))</f>
        <v>44.044999999999995</v>
      </c>
      <c r="AI117">
        <f>((EX117*1.25))</f>
        <v>23.849999999999998</v>
      </c>
      <c r="AJ117">
        <f t="shared" si="92"/>
        <v>0</v>
      </c>
      <c r="AK117">
        <v>43692.65</v>
      </c>
      <c r="AL117">
        <v>41011.26</v>
      </c>
      <c r="AM117">
        <v>2381.5</v>
      </c>
      <c r="AN117">
        <v>257.77</v>
      </c>
      <c r="AO117">
        <v>299.89</v>
      </c>
      <c r="AP117">
        <v>0</v>
      </c>
      <c r="AQ117">
        <v>38.299999999999997</v>
      </c>
      <c r="AR117">
        <v>19.079999999999998</v>
      </c>
      <c r="AS117">
        <v>0</v>
      </c>
      <c r="AT117">
        <v>142</v>
      </c>
      <c r="AU117">
        <v>81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165</v>
      </c>
      <c r="BM117">
        <v>27001</v>
      </c>
      <c r="BN117">
        <v>0</v>
      </c>
      <c r="BO117" t="s">
        <v>3</v>
      </c>
      <c r="BP117">
        <v>0</v>
      </c>
      <c r="BQ117">
        <v>2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142</v>
      </c>
      <c r="CA117">
        <v>95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3"/>
        <v>48438.23</v>
      </c>
      <c r="CQ117">
        <f t="shared" si="94"/>
        <v>41011.26</v>
      </c>
      <c r="CR117">
        <f t="shared" si="95"/>
        <v>2976.87</v>
      </c>
      <c r="CS117">
        <f t="shared" si="96"/>
        <v>322.20999999999998</v>
      </c>
      <c r="CT117">
        <f t="shared" si="97"/>
        <v>344.87</v>
      </c>
      <c r="CU117">
        <f t="shared" si="98"/>
        <v>0</v>
      </c>
      <c r="CV117">
        <f t="shared" si="99"/>
        <v>44.044999999999995</v>
      </c>
      <c r="CW117">
        <f t="shared" si="100"/>
        <v>23.849999999999998</v>
      </c>
      <c r="CX117">
        <f t="shared" si="101"/>
        <v>0</v>
      </c>
      <c r="CY117">
        <f t="shared" si="102"/>
        <v>1034.9669999999999</v>
      </c>
      <c r="CZ117">
        <f t="shared" si="103"/>
        <v>590.36850000000004</v>
      </c>
      <c r="DC117" t="s">
        <v>3</v>
      </c>
      <c r="DD117" t="s">
        <v>3</v>
      </c>
      <c r="DE117" t="s">
        <v>12</v>
      </c>
      <c r="DF117" t="s">
        <v>12</v>
      </c>
      <c r="DG117" t="s">
        <v>13</v>
      </c>
      <c r="DH117" t="s">
        <v>3</v>
      </c>
      <c r="DI117" t="s">
        <v>13</v>
      </c>
      <c r="DJ117" t="s">
        <v>12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152</v>
      </c>
      <c r="DW117" t="s">
        <v>152</v>
      </c>
      <c r="DX117">
        <v>1</v>
      </c>
      <c r="EE117">
        <v>39190938</v>
      </c>
      <c r="EF117">
        <v>2</v>
      </c>
      <c r="EG117" t="s">
        <v>31</v>
      </c>
      <c r="EH117">
        <v>0</v>
      </c>
      <c r="EI117" t="s">
        <v>3</v>
      </c>
      <c r="EJ117">
        <v>1</v>
      </c>
      <c r="EK117">
        <v>27001</v>
      </c>
      <c r="EL117" t="s">
        <v>32</v>
      </c>
      <c r="EM117" t="s">
        <v>33</v>
      </c>
      <c r="EO117" t="s">
        <v>3</v>
      </c>
      <c r="EQ117">
        <v>131072</v>
      </c>
      <c r="ER117">
        <v>43692.65</v>
      </c>
      <c r="ES117">
        <v>41011.26</v>
      </c>
      <c r="ET117">
        <v>2381.5</v>
      </c>
      <c r="EU117">
        <v>257.77</v>
      </c>
      <c r="EV117">
        <v>299.89</v>
      </c>
      <c r="EW117">
        <v>38.299999999999997</v>
      </c>
      <c r="EX117">
        <v>19.079999999999998</v>
      </c>
      <c r="EY117">
        <v>0</v>
      </c>
      <c r="FQ117">
        <v>0</v>
      </c>
      <c r="FR117">
        <f t="shared" si="104"/>
        <v>0</v>
      </c>
      <c r="FS117">
        <v>0</v>
      </c>
      <c r="FU117" t="s">
        <v>34</v>
      </c>
      <c r="FX117">
        <v>142</v>
      </c>
      <c r="FY117">
        <v>80.75</v>
      </c>
      <c r="GA117" t="s">
        <v>3</v>
      </c>
      <c r="GD117">
        <v>1</v>
      </c>
      <c r="GF117">
        <v>1928830487</v>
      </c>
      <c r="GG117">
        <v>2</v>
      </c>
      <c r="GH117">
        <v>0</v>
      </c>
      <c r="GI117">
        <v>0</v>
      </c>
      <c r="GJ117">
        <v>0</v>
      </c>
      <c r="GK117">
        <v>0</v>
      </c>
      <c r="GL117">
        <f t="shared" si="105"/>
        <v>0</v>
      </c>
      <c r="GM117">
        <f t="shared" si="106"/>
        <v>50063.57</v>
      </c>
      <c r="GN117">
        <f t="shared" si="107"/>
        <v>50063.57</v>
      </c>
      <c r="GO117">
        <f t="shared" si="108"/>
        <v>0</v>
      </c>
      <c r="GP117">
        <f t="shared" si="109"/>
        <v>0</v>
      </c>
      <c r="GR117">
        <v>0</v>
      </c>
      <c r="GS117">
        <v>0</v>
      </c>
      <c r="GT117">
        <v>0</v>
      </c>
      <c r="GU117" t="s">
        <v>3</v>
      </c>
      <c r="GV117">
        <f t="shared" si="110"/>
        <v>0</v>
      </c>
      <c r="GW117">
        <v>1</v>
      </c>
      <c r="GX117">
        <f t="shared" si="111"/>
        <v>0</v>
      </c>
      <c r="HA117">
        <v>0</v>
      </c>
      <c r="HB117">
        <v>0</v>
      </c>
      <c r="HC117">
        <f t="shared" si="112"/>
        <v>0</v>
      </c>
      <c r="IK117">
        <v>0</v>
      </c>
    </row>
    <row r="118" spans="1:245" x14ac:dyDescent="0.2">
      <c r="A118">
        <v>18</v>
      </c>
      <c r="B118">
        <v>1</v>
      </c>
      <c r="C118">
        <v>82</v>
      </c>
      <c r="E118" t="s">
        <v>166</v>
      </c>
      <c r="F118" t="s">
        <v>167</v>
      </c>
      <c r="G118" t="s">
        <v>168</v>
      </c>
      <c r="H118" t="s">
        <v>169</v>
      </c>
      <c r="I118">
        <f>I117*J118</f>
        <v>-105.54516</v>
      </c>
      <c r="J118">
        <v>-96.6</v>
      </c>
      <c r="O118">
        <f t="shared" si="78"/>
        <v>-44561.17</v>
      </c>
      <c r="P118">
        <f t="shared" si="79"/>
        <v>-44561.17</v>
      </c>
      <c r="Q118">
        <f t="shared" si="80"/>
        <v>0</v>
      </c>
      <c r="R118">
        <f t="shared" si="81"/>
        <v>0</v>
      </c>
      <c r="S118">
        <f t="shared" si="82"/>
        <v>0</v>
      </c>
      <c r="T118">
        <f t="shared" si="83"/>
        <v>0</v>
      </c>
      <c r="U118">
        <f t="shared" si="84"/>
        <v>0</v>
      </c>
      <c r="V118">
        <f t="shared" si="85"/>
        <v>0</v>
      </c>
      <c r="W118">
        <f t="shared" si="86"/>
        <v>0</v>
      </c>
      <c r="X118">
        <f t="shared" si="87"/>
        <v>0</v>
      </c>
      <c r="Y118">
        <f t="shared" si="88"/>
        <v>0</v>
      </c>
      <c r="AA118">
        <v>39201625</v>
      </c>
      <c r="AB118">
        <f t="shared" si="89"/>
        <v>422.2</v>
      </c>
      <c r="AC118">
        <f>ROUND((ES118),2)</f>
        <v>422.2</v>
      </c>
      <c r="AD118">
        <f>ROUND((((ET118)-(EU118))+AE118),2)</f>
        <v>0</v>
      </c>
      <c r="AE118">
        <f>ROUND((EU118),2)</f>
        <v>0</v>
      </c>
      <c r="AF118">
        <f>ROUND((EV118),2)</f>
        <v>0</v>
      </c>
      <c r="AG118">
        <f t="shared" si="91"/>
        <v>0</v>
      </c>
      <c r="AH118">
        <f>(EW118)</f>
        <v>0</v>
      </c>
      <c r="AI118">
        <f>(EX118)</f>
        <v>0</v>
      </c>
      <c r="AJ118">
        <f t="shared" si="92"/>
        <v>0</v>
      </c>
      <c r="AK118">
        <v>422.2</v>
      </c>
      <c r="AL118">
        <v>422.2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142</v>
      </c>
      <c r="AU118">
        <v>81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1</v>
      </c>
      <c r="BJ118" t="s">
        <v>170</v>
      </c>
      <c r="BM118">
        <v>27001</v>
      </c>
      <c r="BN118">
        <v>0</v>
      </c>
      <c r="BO118" t="s">
        <v>3</v>
      </c>
      <c r="BP118">
        <v>0</v>
      </c>
      <c r="BQ118">
        <v>2</v>
      </c>
      <c r="BR118">
        <v>1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142</v>
      </c>
      <c r="CA118">
        <v>95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3"/>
        <v>-44561.17</v>
      </c>
      <c r="CQ118">
        <f t="shared" si="94"/>
        <v>422.2</v>
      </c>
      <c r="CR118">
        <f t="shared" si="95"/>
        <v>0</v>
      </c>
      <c r="CS118">
        <f t="shared" si="96"/>
        <v>0</v>
      </c>
      <c r="CT118">
        <f t="shared" si="97"/>
        <v>0</v>
      </c>
      <c r="CU118">
        <f t="shared" si="98"/>
        <v>0</v>
      </c>
      <c r="CV118">
        <f t="shared" si="99"/>
        <v>0</v>
      </c>
      <c r="CW118">
        <f t="shared" si="100"/>
        <v>0</v>
      </c>
      <c r="CX118">
        <f t="shared" si="101"/>
        <v>0</v>
      </c>
      <c r="CY118">
        <f t="shared" si="102"/>
        <v>0</v>
      </c>
      <c r="CZ118">
        <f t="shared" si="103"/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1009</v>
      </c>
      <c r="DV118" t="s">
        <v>169</v>
      </c>
      <c r="DW118" t="s">
        <v>169</v>
      </c>
      <c r="DX118">
        <v>1000</v>
      </c>
      <c r="EE118">
        <v>39190938</v>
      </c>
      <c r="EF118">
        <v>2</v>
      </c>
      <c r="EG118" t="s">
        <v>31</v>
      </c>
      <c r="EH118">
        <v>0</v>
      </c>
      <c r="EI118" t="s">
        <v>3</v>
      </c>
      <c r="EJ118">
        <v>1</v>
      </c>
      <c r="EK118">
        <v>27001</v>
      </c>
      <c r="EL118" t="s">
        <v>32</v>
      </c>
      <c r="EM118" t="s">
        <v>33</v>
      </c>
      <c r="EO118" t="s">
        <v>3</v>
      </c>
      <c r="EQ118">
        <v>0</v>
      </c>
      <c r="ER118">
        <v>422.2</v>
      </c>
      <c r="ES118">
        <v>422.2</v>
      </c>
      <c r="ET118">
        <v>0</v>
      </c>
      <c r="EU118">
        <v>0</v>
      </c>
      <c r="EV118">
        <v>0</v>
      </c>
      <c r="EW118">
        <v>0</v>
      </c>
      <c r="EX118">
        <v>0</v>
      </c>
      <c r="FQ118">
        <v>0</v>
      </c>
      <c r="FR118">
        <f t="shared" si="104"/>
        <v>0</v>
      </c>
      <c r="FS118">
        <v>0</v>
      </c>
      <c r="FU118" t="s">
        <v>34</v>
      </c>
      <c r="FX118">
        <v>142</v>
      </c>
      <c r="FY118">
        <v>80.75</v>
      </c>
      <c r="GA118" t="s">
        <v>3</v>
      </c>
      <c r="GD118">
        <v>1</v>
      </c>
      <c r="GF118">
        <v>256039489</v>
      </c>
      <c r="GG118">
        <v>2</v>
      </c>
      <c r="GH118">
        <v>0</v>
      </c>
      <c r="GI118">
        <v>0</v>
      </c>
      <c r="GJ118">
        <v>0</v>
      </c>
      <c r="GK118">
        <v>0</v>
      </c>
      <c r="GL118">
        <f t="shared" si="105"/>
        <v>0</v>
      </c>
      <c r="GM118">
        <f t="shared" si="106"/>
        <v>-44561.17</v>
      </c>
      <c r="GN118">
        <f t="shared" si="107"/>
        <v>-44561.17</v>
      </c>
      <c r="GO118">
        <f t="shared" si="108"/>
        <v>0</v>
      </c>
      <c r="GP118">
        <f t="shared" si="109"/>
        <v>0</v>
      </c>
      <c r="GR118">
        <v>0</v>
      </c>
      <c r="GS118">
        <v>0</v>
      </c>
      <c r="GT118">
        <v>0</v>
      </c>
      <c r="GU118" t="s">
        <v>3</v>
      </c>
      <c r="GV118">
        <f t="shared" si="110"/>
        <v>0</v>
      </c>
      <c r="GW118">
        <v>1</v>
      </c>
      <c r="GX118">
        <f t="shared" si="111"/>
        <v>0</v>
      </c>
      <c r="HA118">
        <v>0</v>
      </c>
      <c r="HB118">
        <v>0</v>
      </c>
      <c r="HC118">
        <f t="shared" si="112"/>
        <v>0</v>
      </c>
      <c r="IK118">
        <v>0</v>
      </c>
    </row>
    <row r="119" spans="1:245" x14ac:dyDescent="0.2">
      <c r="A119">
        <v>18</v>
      </c>
      <c r="B119">
        <v>1</v>
      </c>
      <c r="C119">
        <v>83</v>
      </c>
      <c r="E119" t="s">
        <v>171</v>
      </c>
      <c r="F119" t="s">
        <v>172</v>
      </c>
      <c r="G119" t="s">
        <v>173</v>
      </c>
      <c r="H119" t="s">
        <v>169</v>
      </c>
      <c r="I119">
        <f>I117*J119</f>
        <v>105.54516</v>
      </c>
      <c r="J119">
        <v>96.6</v>
      </c>
      <c r="O119">
        <f t="shared" si="78"/>
        <v>46912.71</v>
      </c>
      <c r="P119">
        <f t="shared" si="79"/>
        <v>46912.71</v>
      </c>
      <c r="Q119">
        <f t="shared" si="80"/>
        <v>0</v>
      </c>
      <c r="R119">
        <f t="shared" si="81"/>
        <v>0</v>
      </c>
      <c r="S119">
        <f t="shared" si="82"/>
        <v>0</v>
      </c>
      <c r="T119">
        <f t="shared" si="83"/>
        <v>0</v>
      </c>
      <c r="U119">
        <f t="shared" si="84"/>
        <v>0</v>
      </c>
      <c r="V119">
        <f t="shared" si="85"/>
        <v>0</v>
      </c>
      <c r="W119">
        <f t="shared" si="86"/>
        <v>0</v>
      </c>
      <c r="X119">
        <f t="shared" si="87"/>
        <v>0</v>
      </c>
      <c r="Y119">
        <f t="shared" si="88"/>
        <v>0</v>
      </c>
      <c r="AA119">
        <v>39201625</v>
      </c>
      <c r="AB119">
        <f t="shared" si="89"/>
        <v>444.48</v>
      </c>
      <c r="AC119">
        <f>ROUND((ES119),2)</f>
        <v>444.48</v>
      </c>
      <c r="AD119">
        <f>ROUND((((ET119)-(EU119))+AE119),2)</f>
        <v>0</v>
      </c>
      <c r="AE119">
        <f>ROUND((EU119),2)</f>
        <v>0</v>
      </c>
      <c r="AF119">
        <f>ROUND((EV119),2)</f>
        <v>0</v>
      </c>
      <c r="AG119">
        <f t="shared" si="91"/>
        <v>0</v>
      </c>
      <c r="AH119">
        <f>(EW119)</f>
        <v>0</v>
      </c>
      <c r="AI119">
        <f>(EX119)</f>
        <v>0</v>
      </c>
      <c r="AJ119">
        <f t="shared" si="92"/>
        <v>0</v>
      </c>
      <c r="AK119">
        <v>444.48</v>
      </c>
      <c r="AL119">
        <v>444.48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142</v>
      </c>
      <c r="AU119">
        <v>81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3</v>
      </c>
      <c r="BI119">
        <v>1</v>
      </c>
      <c r="BJ119" t="s">
        <v>174</v>
      </c>
      <c r="BM119">
        <v>27001</v>
      </c>
      <c r="BN119">
        <v>0</v>
      </c>
      <c r="BO119" t="s">
        <v>3</v>
      </c>
      <c r="BP119">
        <v>0</v>
      </c>
      <c r="BQ119">
        <v>2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142</v>
      </c>
      <c r="CA119">
        <v>95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3"/>
        <v>46912.71</v>
      </c>
      <c r="CQ119">
        <f t="shared" si="94"/>
        <v>444.48</v>
      </c>
      <c r="CR119">
        <f t="shared" si="95"/>
        <v>0</v>
      </c>
      <c r="CS119">
        <f t="shared" si="96"/>
        <v>0</v>
      </c>
      <c r="CT119">
        <f t="shared" si="97"/>
        <v>0</v>
      </c>
      <c r="CU119">
        <f t="shared" si="98"/>
        <v>0</v>
      </c>
      <c r="CV119">
        <f t="shared" si="99"/>
        <v>0</v>
      </c>
      <c r="CW119">
        <f t="shared" si="100"/>
        <v>0</v>
      </c>
      <c r="CX119">
        <f t="shared" si="101"/>
        <v>0</v>
      </c>
      <c r="CY119">
        <f t="shared" si="102"/>
        <v>0</v>
      </c>
      <c r="CZ119">
        <f t="shared" si="103"/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1009</v>
      </c>
      <c r="DV119" t="s">
        <v>169</v>
      </c>
      <c r="DW119" t="s">
        <v>169</v>
      </c>
      <c r="DX119">
        <v>1000</v>
      </c>
      <c r="EE119">
        <v>39190938</v>
      </c>
      <c r="EF119">
        <v>2</v>
      </c>
      <c r="EG119" t="s">
        <v>31</v>
      </c>
      <c r="EH119">
        <v>0</v>
      </c>
      <c r="EI119" t="s">
        <v>3</v>
      </c>
      <c r="EJ119">
        <v>1</v>
      </c>
      <c r="EK119">
        <v>27001</v>
      </c>
      <c r="EL119" t="s">
        <v>32</v>
      </c>
      <c r="EM119" t="s">
        <v>33</v>
      </c>
      <c r="EO119" t="s">
        <v>3</v>
      </c>
      <c r="EQ119">
        <v>0</v>
      </c>
      <c r="ER119">
        <v>444.48</v>
      </c>
      <c r="ES119">
        <v>444.48</v>
      </c>
      <c r="ET119">
        <v>0</v>
      </c>
      <c r="EU119">
        <v>0</v>
      </c>
      <c r="EV119">
        <v>0</v>
      </c>
      <c r="EW119">
        <v>0</v>
      </c>
      <c r="EX119">
        <v>0</v>
      </c>
      <c r="FQ119">
        <v>0</v>
      </c>
      <c r="FR119">
        <f t="shared" si="104"/>
        <v>0</v>
      </c>
      <c r="FS119">
        <v>0</v>
      </c>
      <c r="FU119" t="s">
        <v>34</v>
      </c>
      <c r="FX119">
        <v>142</v>
      </c>
      <c r="FY119">
        <v>80.75</v>
      </c>
      <c r="GA119" t="s">
        <v>3</v>
      </c>
      <c r="GD119">
        <v>1</v>
      </c>
      <c r="GF119">
        <v>-1313825229</v>
      </c>
      <c r="GG119">
        <v>2</v>
      </c>
      <c r="GH119">
        <v>0</v>
      </c>
      <c r="GI119">
        <v>0</v>
      </c>
      <c r="GJ119">
        <v>0</v>
      </c>
      <c r="GK119">
        <v>0</v>
      </c>
      <c r="GL119">
        <f t="shared" si="105"/>
        <v>0</v>
      </c>
      <c r="GM119">
        <f t="shared" si="106"/>
        <v>46912.71</v>
      </c>
      <c r="GN119">
        <f t="shared" si="107"/>
        <v>46912.71</v>
      </c>
      <c r="GO119">
        <f t="shared" si="108"/>
        <v>0</v>
      </c>
      <c r="GP119">
        <f t="shared" si="109"/>
        <v>0</v>
      </c>
      <c r="GR119">
        <v>0</v>
      </c>
      <c r="GS119">
        <v>0</v>
      </c>
      <c r="GT119">
        <v>0</v>
      </c>
      <c r="GU119" t="s">
        <v>3</v>
      </c>
      <c r="GV119">
        <f t="shared" si="110"/>
        <v>0</v>
      </c>
      <c r="GW119">
        <v>1</v>
      </c>
      <c r="GX119">
        <f t="shared" si="111"/>
        <v>0</v>
      </c>
      <c r="HA119">
        <v>0</v>
      </c>
      <c r="HB119">
        <v>0</v>
      </c>
      <c r="HC119">
        <f t="shared" si="112"/>
        <v>0</v>
      </c>
      <c r="IK119">
        <v>0</v>
      </c>
    </row>
    <row r="120" spans="1:245" x14ac:dyDescent="0.2">
      <c r="A120">
        <v>17</v>
      </c>
      <c r="B120">
        <v>1</v>
      </c>
      <c r="C120">
        <f>ROW(SmtRes!A88)</f>
        <v>88</v>
      </c>
      <c r="D120">
        <f>ROW(EtalonRes!A87)</f>
        <v>87</v>
      </c>
      <c r="E120" t="s">
        <v>175</v>
      </c>
      <c r="F120" t="s">
        <v>176</v>
      </c>
      <c r="G120" t="s">
        <v>177</v>
      </c>
      <c r="H120" t="s">
        <v>152</v>
      </c>
      <c r="I120">
        <f>ROUND((I117*1000)/1000,4)</f>
        <v>1.0926</v>
      </c>
      <c r="J120">
        <v>0</v>
      </c>
      <c r="O120">
        <f t="shared" si="78"/>
        <v>11178.35</v>
      </c>
      <c r="P120">
        <f t="shared" si="79"/>
        <v>11168.12</v>
      </c>
      <c r="Q120">
        <f t="shared" si="80"/>
        <v>8.4700000000000006</v>
      </c>
      <c r="R120">
        <f t="shared" si="81"/>
        <v>0</v>
      </c>
      <c r="S120">
        <f t="shared" si="82"/>
        <v>1.76</v>
      </c>
      <c r="T120">
        <f t="shared" si="83"/>
        <v>0</v>
      </c>
      <c r="U120">
        <f t="shared" si="84"/>
        <v>0.22616819999999999</v>
      </c>
      <c r="V120">
        <f t="shared" si="85"/>
        <v>0</v>
      </c>
      <c r="W120">
        <f t="shared" si="86"/>
        <v>0</v>
      </c>
      <c r="X120">
        <f t="shared" si="87"/>
        <v>2.5</v>
      </c>
      <c r="Y120">
        <f t="shared" si="88"/>
        <v>1.43</v>
      </c>
      <c r="AA120">
        <v>39201625</v>
      </c>
      <c r="AB120">
        <f t="shared" si="89"/>
        <v>10230.959999999999</v>
      </c>
      <c r="AC120">
        <f>ROUND(((ES120*2)),2)</f>
        <v>10221.6</v>
      </c>
      <c r="AD120">
        <f>ROUND((((((ET120*1.25)*2))-(((EU120*1.25)*2)))+AE120),2)</f>
        <v>7.75</v>
      </c>
      <c r="AE120">
        <f>ROUND((((EU120*1.25)*2)),2)</f>
        <v>0</v>
      </c>
      <c r="AF120">
        <f>ROUND((((EV120*1.15)*2)),2)</f>
        <v>1.61</v>
      </c>
      <c r="AG120">
        <f t="shared" si="91"/>
        <v>0</v>
      </c>
      <c r="AH120">
        <f>(((EW120*1.15)*2))</f>
        <v>0.20699999999999999</v>
      </c>
      <c r="AI120">
        <f>(((EX120*1.25)*2))</f>
        <v>0</v>
      </c>
      <c r="AJ120">
        <f t="shared" si="92"/>
        <v>0</v>
      </c>
      <c r="AK120">
        <v>5114.6000000000004</v>
      </c>
      <c r="AL120">
        <v>5110.8</v>
      </c>
      <c r="AM120">
        <v>3.1</v>
      </c>
      <c r="AN120">
        <v>0</v>
      </c>
      <c r="AO120">
        <v>0.7</v>
      </c>
      <c r="AP120">
        <v>0</v>
      </c>
      <c r="AQ120">
        <v>0.09</v>
      </c>
      <c r="AR120">
        <v>0</v>
      </c>
      <c r="AS120">
        <v>0</v>
      </c>
      <c r="AT120">
        <v>142</v>
      </c>
      <c r="AU120">
        <v>81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178</v>
      </c>
      <c r="BM120">
        <v>27001</v>
      </c>
      <c r="BN120">
        <v>0</v>
      </c>
      <c r="BO120" t="s">
        <v>3</v>
      </c>
      <c r="BP120">
        <v>0</v>
      </c>
      <c r="BQ120">
        <v>2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142</v>
      </c>
      <c r="CA120">
        <v>95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3"/>
        <v>11178.35</v>
      </c>
      <c r="CQ120">
        <f t="shared" si="94"/>
        <v>10221.6</v>
      </c>
      <c r="CR120">
        <f t="shared" si="95"/>
        <v>7.75</v>
      </c>
      <c r="CS120">
        <f t="shared" si="96"/>
        <v>0</v>
      </c>
      <c r="CT120">
        <f t="shared" si="97"/>
        <v>1.61</v>
      </c>
      <c r="CU120">
        <f t="shared" si="98"/>
        <v>0</v>
      </c>
      <c r="CV120">
        <f t="shared" si="99"/>
        <v>0.20699999999999999</v>
      </c>
      <c r="CW120">
        <f t="shared" si="100"/>
        <v>0</v>
      </c>
      <c r="CX120">
        <f t="shared" si="101"/>
        <v>0</v>
      </c>
      <c r="CY120">
        <f t="shared" si="102"/>
        <v>2.4992000000000001</v>
      </c>
      <c r="CZ120">
        <f t="shared" si="103"/>
        <v>1.4256</v>
      </c>
      <c r="DC120" t="s">
        <v>3</v>
      </c>
      <c r="DD120" t="s">
        <v>158</v>
      </c>
      <c r="DE120" t="s">
        <v>159</v>
      </c>
      <c r="DF120" t="s">
        <v>159</v>
      </c>
      <c r="DG120" t="s">
        <v>160</v>
      </c>
      <c r="DH120" t="s">
        <v>3</v>
      </c>
      <c r="DI120" t="s">
        <v>160</v>
      </c>
      <c r="DJ120" t="s">
        <v>159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152</v>
      </c>
      <c r="DW120" t="s">
        <v>152</v>
      </c>
      <c r="DX120">
        <v>1</v>
      </c>
      <c r="EE120">
        <v>39190938</v>
      </c>
      <c r="EF120">
        <v>2</v>
      </c>
      <c r="EG120" t="s">
        <v>31</v>
      </c>
      <c r="EH120">
        <v>0</v>
      </c>
      <c r="EI120" t="s">
        <v>3</v>
      </c>
      <c r="EJ120">
        <v>1</v>
      </c>
      <c r="EK120">
        <v>27001</v>
      </c>
      <c r="EL120" t="s">
        <v>32</v>
      </c>
      <c r="EM120" t="s">
        <v>33</v>
      </c>
      <c r="EO120" t="s">
        <v>3</v>
      </c>
      <c r="EQ120">
        <v>131072</v>
      </c>
      <c r="ER120">
        <v>5114.6000000000004</v>
      </c>
      <c r="ES120">
        <v>5110.8</v>
      </c>
      <c r="ET120">
        <v>3.1</v>
      </c>
      <c r="EU120">
        <v>0</v>
      </c>
      <c r="EV120">
        <v>0.7</v>
      </c>
      <c r="EW120">
        <v>0.09</v>
      </c>
      <c r="EX120">
        <v>0</v>
      </c>
      <c r="EY120">
        <v>0</v>
      </c>
      <c r="FQ120">
        <v>0</v>
      </c>
      <c r="FR120">
        <f t="shared" si="104"/>
        <v>0</v>
      </c>
      <c r="FS120">
        <v>0</v>
      </c>
      <c r="FU120" t="s">
        <v>34</v>
      </c>
      <c r="FX120">
        <v>142</v>
      </c>
      <c r="FY120">
        <v>80.75</v>
      </c>
      <c r="GA120" t="s">
        <v>3</v>
      </c>
      <c r="GD120">
        <v>1</v>
      </c>
      <c r="GF120">
        <v>1270483884</v>
      </c>
      <c r="GG120">
        <v>2</v>
      </c>
      <c r="GH120">
        <v>0</v>
      </c>
      <c r="GI120">
        <v>0</v>
      </c>
      <c r="GJ120">
        <v>0</v>
      </c>
      <c r="GK120">
        <v>0</v>
      </c>
      <c r="GL120">
        <f t="shared" si="105"/>
        <v>0</v>
      </c>
      <c r="GM120">
        <f t="shared" si="106"/>
        <v>11182.28</v>
      </c>
      <c r="GN120">
        <f t="shared" si="107"/>
        <v>11182.28</v>
      </c>
      <c r="GO120">
        <f t="shared" si="108"/>
        <v>0</v>
      </c>
      <c r="GP120">
        <f t="shared" si="109"/>
        <v>0</v>
      </c>
      <c r="GR120">
        <v>0</v>
      </c>
      <c r="GS120">
        <v>0</v>
      </c>
      <c r="GT120">
        <v>0</v>
      </c>
      <c r="GU120" t="s">
        <v>3</v>
      </c>
      <c r="GV120">
        <f t="shared" si="110"/>
        <v>0</v>
      </c>
      <c r="GW120">
        <v>1</v>
      </c>
      <c r="GX120">
        <f t="shared" si="111"/>
        <v>0</v>
      </c>
      <c r="HA120">
        <v>0</v>
      </c>
      <c r="HB120">
        <v>0</v>
      </c>
      <c r="HC120">
        <f t="shared" si="112"/>
        <v>0</v>
      </c>
      <c r="IK120">
        <v>0</v>
      </c>
    </row>
    <row r="121" spans="1:245" x14ac:dyDescent="0.2">
      <c r="A121">
        <v>18</v>
      </c>
      <c r="B121">
        <v>1</v>
      </c>
      <c r="C121">
        <v>87</v>
      </c>
      <c r="E121" t="s">
        <v>179</v>
      </c>
      <c r="F121" t="s">
        <v>167</v>
      </c>
      <c r="G121" t="s">
        <v>168</v>
      </c>
      <c r="H121" t="s">
        <v>169</v>
      </c>
      <c r="I121">
        <f>I120*J121</f>
        <v>-26.440919999999998</v>
      </c>
      <c r="J121">
        <v>-24.2</v>
      </c>
      <c r="O121">
        <f t="shared" si="78"/>
        <v>-11163.36</v>
      </c>
      <c r="P121">
        <f t="shared" si="79"/>
        <v>-11163.36</v>
      </c>
      <c r="Q121">
        <f t="shared" si="80"/>
        <v>0</v>
      </c>
      <c r="R121">
        <f t="shared" si="81"/>
        <v>0</v>
      </c>
      <c r="S121">
        <f t="shared" si="82"/>
        <v>0</v>
      </c>
      <c r="T121">
        <f t="shared" si="83"/>
        <v>0</v>
      </c>
      <c r="U121">
        <f t="shared" si="84"/>
        <v>0</v>
      </c>
      <c r="V121">
        <f t="shared" si="85"/>
        <v>0</v>
      </c>
      <c r="W121">
        <f t="shared" si="86"/>
        <v>0</v>
      </c>
      <c r="X121">
        <f t="shared" si="87"/>
        <v>0</v>
      </c>
      <c r="Y121">
        <f t="shared" si="88"/>
        <v>0</v>
      </c>
      <c r="AA121">
        <v>39201625</v>
      </c>
      <c r="AB121">
        <f t="shared" si="89"/>
        <v>422.2</v>
      </c>
      <c r="AC121">
        <f>ROUND((ES121),2)</f>
        <v>422.2</v>
      </c>
      <c r="AD121">
        <f>ROUND((((ET121)-(EU121))+AE121),2)</f>
        <v>0</v>
      </c>
      <c r="AE121">
        <f>ROUND((EU121),2)</f>
        <v>0</v>
      </c>
      <c r="AF121">
        <f>ROUND((EV121),2)</f>
        <v>0</v>
      </c>
      <c r="AG121">
        <f t="shared" si="91"/>
        <v>0</v>
      </c>
      <c r="AH121">
        <f>(EW121)</f>
        <v>0</v>
      </c>
      <c r="AI121">
        <f>(EX121)</f>
        <v>0</v>
      </c>
      <c r="AJ121">
        <f t="shared" si="92"/>
        <v>0</v>
      </c>
      <c r="AK121">
        <v>422.2</v>
      </c>
      <c r="AL121">
        <v>422.2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142</v>
      </c>
      <c r="AU121">
        <v>81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1</v>
      </c>
      <c r="BJ121" t="s">
        <v>170</v>
      </c>
      <c r="BM121">
        <v>27001</v>
      </c>
      <c r="BN121">
        <v>0</v>
      </c>
      <c r="BO121" t="s">
        <v>3</v>
      </c>
      <c r="BP121">
        <v>0</v>
      </c>
      <c r="BQ121">
        <v>2</v>
      </c>
      <c r="BR121">
        <v>1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142</v>
      </c>
      <c r="CA121">
        <v>95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3"/>
        <v>-11163.36</v>
      </c>
      <c r="CQ121">
        <f t="shared" si="94"/>
        <v>422.2</v>
      </c>
      <c r="CR121">
        <f t="shared" si="95"/>
        <v>0</v>
      </c>
      <c r="CS121">
        <f t="shared" si="96"/>
        <v>0</v>
      </c>
      <c r="CT121">
        <f t="shared" si="97"/>
        <v>0</v>
      </c>
      <c r="CU121">
        <f t="shared" si="98"/>
        <v>0</v>
      </c>
      <c r="CV121">
        <f t="shared" si="99"/>
        <v>0</v>
      </c>
      <c r="CW121">
        <f t="shared" si="100"/>
        <v>0</v>
      </c>
      <c r="CX121">
        <f t="shared" si="101"/>
        <v>0</v>
      </c>
      <c r="CY121">
        <f t="shared" si="102"/>
        <v>0</v>
      </c>
      <c r="CZ121">
        <f t="shared" si="103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1009</v>
      </c>
      <c r="DV121" t="s">
        <v>169</v>
      </c>
      <c r="DW121" t="s">
        <v>169</v>
      </c>
      <c r="DX121">
        <v>1000</v>
      </c>
      <c r="EE121">
        <v>39190938</v>
      </c>
      <c r="EF121">
        <v>2</v>
      </c>
      <c r="EG121" t="s">
        <v>31</v>
      </c>
      <c r="EH121">
        <v>0</v>
      </c>
      <c r="EI121" t="s">
        <v>3</v>
      </c>
      <c r="EJ121">
        <v>1</v>
      </c>
      <c r="EK121">
        <v>27001</v>
      </c>
      <c r="EL121" t="s">
        <v>32</v>
      </c>
      <c r="EM121" t="s">
        <v>33</v>
      </c>
      <c r="EO121" t="s">
        <v>3</v>
      </c>
      <c r="EQ121">
        <v>0</v>
      </c>
      <c r="ER121">
        <v>422.2</v>
      </c>
      <c r="ES121">
        <v>422.2</v>
      </c>
      <c r="ET121">
        <v>0</v>
      </c>
      <c r="EU121">
        <v>0</v>
      </c>
      <c r="EV121">
        <v>0</v>
      </c>
      <c r="EW121">
        <v>0</v>
      </c>
      <c r="EX121">
        <v>0</v>
      </c>
      <c r="FQ121">
        <v>0</v>
      </c>
      <c r="FR121">
        <f t="shared" si="104"/>
        <v>0</v>
      </c>
      <c r="FS121">
        <v>0</v>
      </c>
      <c r="FU121" t="s">
        <v>34</v>
      </c>
      <c r="FX121">
        <v>142</v>
      </c>
      <c r="FY121">
        <v>80.75</v>
      </c>
      <c r="GA121" t="s">
        <v>3</v>
      </c>
      <c r="GD121">
        <v>1</v>
      </c>
      <c r="GF121">
        <v>256039489</v>
      </c>
      <c r="GG121">
        <v>2</v>
      </c>
      <c r="GH121">
        <v>0</v>
      </c>
      <c r="GI121">
        <v>0</v>
      </c>
      <c r="GJ121">
        <v>0</v>
      </c>
      <c r="GK121">
        <v>0</v>
      </c>
      <c r="GL121">
        <f t="shared" si="105"/>
        <v>0</v>
      </c>
      <c r="GM121">
        <f t="shared" si="106"/>
        <v>-11163.36</v>
      </c>
      <c r="GN121">
        <f t="shared" si="107"/>
        <v>-11163.36</v>
      </c>
      <c r="GO121">
        <f t="shared" si="108"/>
        <v>0</v>
      </c>
      <c r="GP121">
        <f t="shared" si="109"/>
        <v>0</v>
      </c>
      <c r="GR121">
        <v>0</v>
      </c>
      <c r="GS121">
        <v>0</v>
      </c>
      <c r="GT121">
        <v>0</v>
      </c>
      <c r="GU121" t="s">
        <v>3</v>
      </c>
      <c r="GV121">
        <f t="shared" si="110"/>
        <v>0</v>
      </c>
      <c r="GW121">
        <v>1</v>
      </c>
      <c r="GX121">
        <f t="shared" si="111"/>
        <v>0</v>
      </c>
      <c r="HA121">
        <v>0</v>
      </c>
      <c r="HB121">
        <v>0</v>
      </c>
      <c r="HC121">
        <f t="shared" si="112"/>
        <v>0</v>
      </c>
      <c r="IK121">
        <v>0</v>
      </c>
    </row>
    <row r="122" spans="1:245" x14ac:dyDescent="0.2">
      <c r="A122">
        <v>18</v>
      </c>
      <c r="B122">
        <v>1</v>
      </c>
      <c r="C122">
        <v>88</v>
      </c>
      <c r="E122" t="s">
        <v>180</v>
      </c>
      <c r="F122" t="s">
        <v>172</v>
      </c>
      <c r="G122" t="s">
        <v>173</v>
      </c>
      <c r="H122" t="s">
        <v>169</v>
      </c>
      <c r="I122">
        <f>I120*J122</f>
        <v>26.440919999999998</v>
      </c>
      <c r="J122">
        <v>24.2</v>
      </c>
      <c r="O122">
        <f t="shared" si="78"/>
        <v>11752.46</v>
      </c>
      <c r="P122">
        <f t="shared" si="79"/>
        <v>11752.46</v>
      </c>
      <c r="Q122">
        <f t="shared" si="80"/>
        <v>0</v>
      </c>
      <c r="R122">
        <f t="shared" si="81"/>
        <v>0</v>
      </c>
      <c r="S122">
        <f t="shared" si="82"/>
        <v>0</v>
      </c>
      <c r="T122">
        <f t="shared" si="83"/>
        <v>0</v>
      </c>
      <c r="U122">
        <f t="shared" si="84"/>
        <v>0</v>
      </c>
      <c r="V122">
        <f t="shared" si="85"/>
        <v>0</v>
      </c>
      <c r="W122">
        <f t="shared" si="86"/>
        <v>0</v>
      </c>
      <c r="X122">
        <f t="shared" si="87"/>
        <v>0</v>
      </c>
      <c r="Y122">
        <f t="shared" si="88"/>
        <v>0</v>
      </c>
      <c r="AA122">
        <v>39201625</v>
      </c>
      <c r="AB122">
        <f t="shared" si="89"/>
        <v>444.48</v>
      </c>
      <c r="AC122">
        <f>ROUND((ES122),2)</f>
        <v>444.48</v>
      </c>
      <c r="AD122">
        <f>ROUND((((ET122)-(EU122))+AE122),2)</f>
        <v>0</v>
      </c>
      <c r="AE122">
        <f>ROUND((EU122),2)</f>
        <v>0</v>
      </c>
      <c r="AF122">
        <f>ROUND((EV122),2)</f>
        <v>0</v>
      </c>
      <c r="AG122">
        <f t="shared" si="91"/>
        <v>0</v>
      </c>
      <c r="AH122">
        <f>(EW122)</f>
        <v>0</v>
      </c>
      <c r="AI122">
        <f>(EX122)</f>
        <v>0</v>
      </c>
      <c r="AJ122">
        <f t="shared" si="92"/>
        <v>0</v>
      </c>
      <c r="AK122">
        <v>444.48</v>
      </c>
      <c r="AL122">
        <v>444.48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142</v>
      </c>
      <c r="AU122">
        <v>81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1</v>
      </c>
      <c r="BJ122" t="s">
        <v>174</v>
      </c>
      <c r="BM122">
        <v>27001</v>
      </c>
      <c r="BN122">
        <v>0</v>
      </c>
      <c r="BO122" t="s">
        <v>3</v>
      </c>
      <c r="BP122">
        <v>0</v>
      </c>
      <c r="BQ122">
        <v>2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142</v>
      </c>
      <c r="CA122">
        <v>95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3"/>
        <v>11752.46</v>
      </c>
      <c r="CQ122">
        <f t="shared" si="94"/>
        <v>444.48</v>
      </c>
      <c r="CR122">
        <f t="shared" si="95"/>
        <v>0</v>
      </c>
      <c r="CS122">
        <f t="shared" si="96"/>
        <v>0</v>
      </c>
      <c r="CT122">
        <f t="shared" si="97"/>
        <v>0</v>
      </c>
      <c r="CU122">
        <f t="shared" si="98"/>
        <v>0</v>
      </c>
      <c r="CV122">
        <f t="shared" si="99"/>
        <v>0</v>
      </c>
      <c r="CW122">
        <f t="shared" si="100"/>
        <v>0</v>
      </c>
      <c r="CX122">
        <f t="shared" si="101"/>
        <v>0</v>
      </c>
      <c r="CY122">
        <f t="shared" si="102"/>
        <v>0</v>
      </c>
      <c r="CZ122">
        <f t="shared" si="103"/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1009</v>
      </c>
      <c r="DV122" t="s">
        <v>169</v>
      </c>
      <c r="DW122" t="s">
        <v>169</v>
      </c>
      <c r="DX122">
        <v>1000</v>
      </c>
      <c r="EE122">
        <v>39190938</v>
      </c>
      <c r="EF122">
        <v>2</v>
      </c>
      <c r="EG122" t="s">
        <v>31</v>
      </c>
      <c r="EH122">
        <v>0</v>
      </c>
      <c r="EI122" t="s">
        <v>3</v>
      </c>
      <c r="EJ122">
        <v>1</v>
      </c>
      <c r="EK122">
        <v>27001</v>
      </c>
      <c r="EL122" t="s">
        <v>32</v>
      </c>
      <c r="EM122" t="s">
        <v>33</v>
      </c>
      <c r="EO122" t="s">
        <v>3</v>
      </c>
      <c r="EQ122">
        <v>0</v>
      </c>
      <c r="ER122">
        <v>444.48</v>
      </c>
      <c r="ES122">
        <v>444.48</v>
      </c>
      <c r="ET122">
        <v>0</v>
      </c>
      <c r="EU122">
        <v>0</v>
      </c>
      <c r="EV122">
        <v>0</v>
      </c>
      <c r="EW122">
        <v>0</v>
      </c>
      <c r="EX122">
        <v>0</v>
      </c>
      <c r="FQ122">
        <v>0</v>
      </c>
      <c r="FR122">
        <f t="shared" si="104"/>
        <v>0</v>
      </c>
      <c r="FS122">
        <v>0</v>
      </c>
      <c r="FU122" t="s">
        <v>34</v>
      </c>
      <c r="FX122">
        <v>142</v>
      </c>
      <c r="FY122">
        <v>80.75</v>
      </c>
      <c r="GA122" t="s">
        <v>3</v>
      </c>
      <c r="GD122">
        <v>1</v>
      </c>
      <c r="GF122">
        <v>-1313825229</v>
      </c>
      <c r="GG122">
        <v>2</v>
      </c>
      <c r="GH122">
        <v>0</v>
      </c>
      <c r="GI122">
        <v>0</v>
      </c>
      <c r="GJ122">
        <v>0</v>
      </c>
      <c r="GK122">
        <v>0</v>
      </c>
      <c r="GL122">
        <f t="shared" si="105"/>
        <v>0</v>
      </c>
      <c r="GM122">
        <f t="shared" si="106"/>
        <v>11752.46</v>
      </c>
      <c r="GN122">
        <f t="shared" si="107"/>
        <v>11752.46</v>
      </c>
      <c r="GO122">
        <f t="shared" si="108"/>
        <v>0</v>
      </c>
      <c r="GP122">
        <f t="shared" si="109"/>
        <v>0</v>
      </c>
      <c r="GR122">
        <v>0</v>
      </c>
      <c r="GS122">
        <v>0</v>
      </c>
      <c r="GT122">
        <v>0</v>
      </c>
      <c r="GU122" t="s">
        <v>3</v>
      </c>
      <c r="GV122">
        <f t="shared" si="110"/>
        <v>0</v>
      </c>
      <c r="GW122">
        <v>1</v>
      </c>
      <c r="GX122">
        <f t="shared" si="111"/>
        <v>0</v>
      </c>
      <c r="HA122">
        <v>0</v>
      </c>
      <c r="HB122">
        <v>0</v>
      </c>
      <c r="HC122">
        <f t="shared" si="112"/>
        <v>0</v>
      </c>
      <c r="IK122">
        <v>0</v>
      </c>
    </row>
    <row r="124" spans="1:245" x14ac:dyDescent="0.2">
      <c r="A124" s="2">
        <v>51</v>
      </c>
      <c r="B124" s="2">
        <f>B104</f>
        <v>1</v>
      </c>
      <c r="C124" s="2">
        <f>A104</f>
        <v>5</v>
      </c>
      <c r="D124" s="2">
        <f>ROW(A104)</f>
        <v>104</v>
      </c>
      <c r="E124" s="2"/>
      <c r="F124" s="2" t="str">
        <f>IF(F104&lt;&gt;"",F104,"")</f>
        <v>Новый подраздел</v>
      </c>
      <c r="G124" s="2" t="str">
        <f>IF(G104&lt;&gt;"",G104,"")</f>
        <v>Асфальт S=1092,55м2</v>
      </c>
      <c r="H124" s="2">
        <v>0</v>
      </c>
      <c r="I124" s="2"/>
      <c r="J124" s="2"/>
      <c r="K124" s="2"/>
      <c r="L124" s="2"/>
      <c r="M124" s="2"/>
      <c r="N124" s="2"/>
      <c r="O124" s="2">
        <f t="shared" ref="O124:T124" si="113">ROUND(AB124,2)</f>
        <v>129390.79</v>
      </c>
      <c r="P124" s="2">
        <f t="shared" si="113"/>
        <v>118728.97</v>
      </c>
      <c r="Q124" s="2">
        <f t="shared" si="113"/>
        <v>9764.41</v>
      </c>
      <c r="R124" s="2">
        <f t="shared" si="113"/>
        <v>974.78</v>
      </c>
      <c r="S124" s="2">
        <f t="shared" si="113"/>
        <v>897.41</v>
      </c>
      <c r="T124" s="2">
        <f t="shared" si="113"/>
        <v>0</v>
      </c>
      <c r="U124" s="2">
        <f>AH124</f>
        <v>118.04752875</v>
      </c>
      <c r="V124" s="2">
        <f>AI124</f>
        <v>72.822434999999999</v>
      </c>
      <c r="W124" s="2">
        <f>ROUND(AJ124,2)</f>
        <v>0</v>
      </c>
      <c r="X124" s="2">
        <f>ROUND(AK124,2)</f>
        <v>2658.51</v>
      </c>
      <c r="Y124" s="2">
        <f>ROUND(AL124,2)</f>
        <v>1516.49</v>
      </c>
      <c r="Z124" s="2"/>
      <c r="AA124" s="2"/>
      <c r="AB124" s="2">
        <f>ROUND(SUMIF(AA108:AA122,"=39201625",O108:O122),2)</f>
        <v>129390.79</v>
      </c>
      <c r="AC124" s="2">
        <f>ROUND(SUMIF(AA108:AA122,"=39201625",P108:P122),2)</f>
        <v>118728.97</v>
      </c>
      <c r="AD124" s="2">
        <f>ROUND(SUMIF(AA108:AA122,"=39201625",Q108:Q122),2)</f>
        <v>9764.41</v>
      </c>
      <c r="AE124" s="2">
        <f>ROUND(SUMIF(AA108:AA122,"=39201625",R108:R122),2)</f>
        <v>974.78</v>
      </c>
      <c r="AF124" s="2">
        <f>ROUND(SUMIF(AA108:AA122,"=39201625",S108:S122),2)</f>
        <v>897.41</v>
      </c>
      <c r="AG124" s="2">
        <f>ROUND(SUMIF(AA108:AA122,"=39201625",T108:T122),2)</f>
        <v>0</v>
      </c>
      <c r="AH124" s="2">
        <f>SUMIF(AA108:AA122,"=39201625",U108:U122)</f>
        <v>118.04752875</v>
      </c>
      <c r="AI124" s="2">
        <f>SUMIF(AA108:AA122,"=39201625",V108:V122)</f>
        <v>72.822434999999999</v>
      </c>
      <c r="AJ124" s="2">
        <f>ROUND(SUMIF(AA108:AA122,"=39201625",W108:W122),2)</f>
        <v>0</v>
      </c>
      <c r="AK124" s="2">
        <f>ROUND(SUMIF(AA108:AA122,"=39201625",X108:X122),2)</f>
        <v>2658.51</v>
      </c>
      <c r="AL124" s="2">
        <f>ROUND(SUMIF(AA108:AA122,"=39201625",Y108:Y122),2)</f>
        <v>1516.49</v>
      </c>
      <c r="AM124" s="2"/>
      <c r="AN124" s="2"/>
      <c r="AO124" s="2">
        <f t="shared" ref="AO124:BD124" si="114">ROUND(BX124,2)</f>
        <v>0</v>
      </c>
      <c r="AP124" s="2">
        <f t="shared" si="114"/>
        <v>0</v>
      </c>
      <c r="AQ124" s="2">
        <f t="shared" si="114"/>
        <v>0</v>
      </c>
      <c r="AR124" s="2">
        <f t="shared" si="114"/>
        <v>133565.79</v>
      </c>
      <c r="AS124" s="2">
        <f t="shared" si="114"/>
        <v>133565.79</v>
      </c>
      <c r="AT124" s="2">
        <f t="shared" si="114"/>
        <v>0</v>
      </c>
      <c r="AU124" s="2">
        <f t="shared" si="114"/>
        <v>0</v>
      </c>
      <c r="AV124" s="2">
        <f t="shared" si="114"/>
        <v>118728.97</v>
      </c>
      <c r="AW124" s="2">
        <f t="shared" si="114"/>
        <v>118728.97</v>
      </c>
      <c r="AX124" s="2">
        <f t="shared" si="114"/>
        <v>0</v>
      </c>
      <c r="AY124" s="2">
        <f t="shared" si="114"/>
        <v>118728.97</v>
      </c>
      <c r="AZ124" s="2">
        <f t="shared" si="114"/>
        <v>0</v>
      </c>
      <c r="BA124" s="2">
        <f t="shared" si="114"/>
        <v>0</v>
      </c>
      <c r="BB124" s="2">
        <f t="shared" si="114"/>
        <v>0</v>
      </c>
      <c r="BC124" s="2">
        <f t="shared" si="114"/>
        <v>0</v>
      </c>
      <c r="BD124" s="2">
        <f t="shared" si="114"/>
        <v>0</v>
      </c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>
        <f>ROUND(SUMIF(AA108:AA122,"=39201625",FQ108:FQ122),2)</f>
        <v>0</v>
      </c>
      <c r="BY124" s="2">
        <f>ROUND(SUMIF(AA108:AA122,"=39201625",FR108:FR122),2)</f>
        <v>0</v>
      </c>
      <c r="BZ124" s="2">
        <f>ROUND(SUMIF(AA108:AA122,"=39201625",GL108:GL122),2)</f>
        <v>0</v>
      </c>
      <c r="CA124" s="2">
        <f>ROUND(SUMIF(AA108:AA122,"=39201625",GM108:GM122),2)</f>
        <v>133565.79</v>
      </c>
      <c r="CB124" s="2">
        <f>ROUND(SUMIF(AA108:AA122,"=39201625",GN108:GN122),2)</f>
        <v>133565.79</v>
      </c>
      <c r="CC124" s="2">
        <f>ROUND(SUMIF(AA108:AA122,"=39201625",GO108:GO122),2)</f>
        <v>0</v>
      </c>
      <c r="CD124" s="2">
        <f>ROUND(SUMIF(AA108:AA122,"=39201625",GP108:GP122),2)</f>
        <v>0</v>
      </c>
      <c r="CE124" s="2">
        <f>AC124-BX124</f>
        <v>118728.97</v>
      </c>
      <c r="CF124" s="2">
        <f>AC124-BY124</f>
        <v>118728.97</v>
      </c>
      <c r="CG124" s="2">
        <f>BX124-BZ124</f>
        <v>0</v>
      </c>
      <c r="CH124" s="2">
        <f>AC124-BX124-BY124+BZ124</f>
        <v>118728.97</v>
      </c>
      <c r="CI124" s="2">
        <f>BY124-BZ124</f>
        <v>0</v>
      </c>
      <c r="CJ124" s="2">
        <f>ROUND(SUMIF(AA108:AA122,"=39201625",GX108:GX122),2)</f>
        <v>0</v>
      </c>
      <c r="CK124" s="2">
        <f>ROUND(SUMIF(AA108:AA122,"=39201625",GY108:GY122),2)</f>
        <v>0</v>
      </c>
      <c r="CL124" s="2">
        <f>ROUND(SUMIF(AA108:AA122,"=39201625",GZ108:GZ122),2)</f>
        <v>0</v>
      </c>
      <c r="CM124" s="2">
        <f>ROUND(SUMIF(AA108:AA122,"=39201625",HD108:HD122),2)</f>
        <v>0</v>
      </c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>
        <v>0</v>
      </c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201</v>
      </c>
      <c r="F126" s="4">
        <f>ROUND(Source!O124,O126)</f>
        <v>129390.79</v>
      </c>
      <c r="G126" s="4" t="s">
        <v>66</v>
      </c>
      <c r="H126" s="4" t="s">
        <v>67</v>
      </c>
      <c r="I126" s="4"/>
      <c r="J126" s="4"/>
      <c r="K126" s="4">
        <v>201</v>
      </c>
      <c r="L126" s="4">
        <v>1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202</v>
      </c>
      <c r="F127" s="4">
        <f>ROUND(Source!P124,O127)</f>
        <v>118728.97</v>
      </c>
      <c r="G127" s="4" t="s">
        <v>68</v>
      </c>
      <c r="H127" s="4" t="s">
        <v>69</v>
      </c>
      <c r="I127" s="4"/>
      <c r="J127" s="4"/>
      <c r="K127" s="4">
        <v>202</v>
      </c>
      <c r="L127" s="4">
        <v>2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222</v>
      </c>
      <c r="F128" s="4">
        <f>ROUND(Source!AO124,O128)</f>
        <v>0</v>
      </c>
      <c r="G128" s="4" t="s">
        <v>70</v>
      </c>
      <c r="H128" s="4" t="s">
        <v>71</v>
      </c>
      <c r="I128" s="4"/>
      <c r="J128" s="4"/>
      <c r="K128" s="4">
        <v>222</v>
      </c>
      <c r="L128" s="4">
        <v>3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225</v>
      </c>
      <c r="F129" s="4">
        <f>ROUND(Source!AV124,O129)</f>
        <v>118728.97</v>
      </c>
      <c r="G129" s="4" t="s">
        <v>72</v>
      </c>
      <c r="H129" s="4" t="s">
        <v>73</v>
      </c>
      <c r="I129" s="4"/>
      <c r="J129" s="4"/>
      <c r="K129" s="4">
        <v>225</v>
      </c>
      <c r="L129" s="4">
        <v>4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226</v>
      </c>
      <c r="F130" s="4">
        <f>ROUND(Source!AW124,O130)</f>
        <v>118728.97</v>
      </c>
      <c r="G130" s="4" t="s">
        <v>74</v>
      </c>
      <c r="H130" s="4" t="s">
        <v>75</v>
      </c>
      <c r="I130" s="4"/>
      <c r="J130" s="4"/>
      <c r="K130" s="4">
        <v>226</v>
      </c>
      <c r="L130" s="4">
        <v>5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227</v>
      </c>
      <c r="F131" s="4">
        <f>ROUND(Source!AX124,O131)</f>
        <v>0</v>
      </c>
      <c r="G131" s="4" t="s">
        <v>76</v>
      </c>
      <c r="H131" s="4" t="s">
        <v>77</v>
      </c>
      <c r="I131" s="4"/>
      <c r="J131" s="4"/>
      <c r="K131" s="4">
        <v>227</v>
      </c>
      <c r="L131" s="4">
        <v>6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228</v>
      </c>
      <c r="F132" s="4">
        <f>ROUND(Source!AY124,O132)</f>
        <v>118728.97</v>
      </c>
      <c r="G132" s="4" t="s">
        <v>78</v>
      </c>
      <c r="H132" s="4" t="s">
        <v>79</v>
      </c>
      <c r="I132" s="4"/>
      <c r="J132" s="4"/>
      <c r="K132" s="4">
        <v>228</v>
      </c>
      <c r="L132" s="4">
        <v>7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216</v>
      </c>
      <c r="F133" s="4">
        <f>ROUND(Source!AP124,O133)</f>
        <v>0</v>
      </c>
      <c r="G133" s="4" t="s">
        <v>80</v>
      </c>
      <c r="H133" s="4" t="s">
        <v>81</v>
      </c>
      <c r="I133" s="4"/>
      <c r="J133" s="4"/>
      <c r="K133" s="4">
        <v>216</v>
      </c>
      <c r="L133" s="4">
        <v>8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223</v>
      </c>
      <c r="F134" s="4">
        <f>ROUND(Source!AQ124,O134)</f>
        <v>0</v>
      </c>
      <c r="G134" s="4" t="s">
        <v>82</v>
      </c>
      <c r="H134" s="4" t="s">
        <v>83</v>
      </c>
      <c r="I134" s="4"/>
      <c r="J134" s="4"/>
      <c r="K134" s="4">
        <v>223</v>
      </c>
      <c r="L134" s="4">
        <v>9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229</v>
      </c>
      <c r="F135" s="4">
        <f>ROUND(Source!AZ124,O135)</f>
        <v>0</v>
      </c>
      <c r="G135" s="4" t="s">
        <v>84</v>
      </c>
      <c r="H135" s="4" t="s">
        <v>85</v>
      </c>
      <c r="I135" s="4"/>
      <c r="J135" s="4"/>
      <c r="K135" s="4">
        <v>229</v>
      </c>
      <c r="L135" s="4">
        <v>10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203</v>
      </c>
      <c r="F136" s="4">
        <f>ROUND(Source!Q124,O136)</f>
        <v>9764.41</v>
      </c>
      <c r="G136" s="4" t="s">
        <v>86</v>
      </c>
      <c r="H136" s="4" t="s">
        <v>87</v>
      </c>
      <c r="I136" s="4"/>
      <c r="J136" s="4"/>
      <c r="K136" s="4">
        <v>203</v>
      </c>
      <c r="L136" s="4">
        <v>11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231</v>
      </c>
      <c r="F137" s="4">
        <f>ROUND(Source!BB124,O137)</f>
        <v>0</v>
      </c>
      <c r="G137" s="4" t="s">
        <v>88</v>
      </c>
      <c r="H137" s="4" t="s">
        <v>89</v>
      </c>
      <c r="I137" s="4"/>
      <c r="J137" s="4"/>
      <c r="K137" s="4">
        <v>231</v>
      </c>
      <c r="L137" s="4">
        <v>12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204</v>
      </c>
      <c r="F138" s="4">
        <f>ROUND(Source!R124,O138)</f>
        <v>974.78</v>
      </c>
      <c r="G138" s="4" t="s">
        <v>90</v>
      </c>
      <c r="H138" s="4" t="s">
        <v>91</v>
      </c>
      <c r="I138" s="4"/>
      <c r="J138" s="4"/>
      <c r="K138" s="4">
        <v>204</v>
      </c>
      <c r="L138" s="4">
        <v>13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205</v>
      </c>
      <c r="F139" s="4">
        <f>ROUND(Source!S124,O139)</f>
        <v>897.41</v>
      </c>
      <c r="G139" s="4" t="s">
        <v>92</v>
      </c>
      <c r="H139" s="4" t="s">
        <v>93</v>
      </c>
      <c r="I139" s="4"/>
      <c r="J139" s="4"/>
      <c r="K139" s="4">
        <v>205</v>
      </c>
      <c r="L139" s="4">
        <v>14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232</v>
      </c>
      <c r="F140" s="4">
        <f>ROUND(Source!BC124,O140)</f>
        <v>0</v>
      </c>
      <c r="G140" s="4" t="s">
        <v>94</v>
      </c>
      <c r="H140" s="4" t="s">
        <v>95</v>
      </c>
      <c r="I140" s="4"/>
      <c r="J140" s="4"/>
      <c r="K140" s="4">
        <v>232</v>
      </c>
      <c r="L140" s="4">
        <v>15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214</v>
      </c>
      <c r="F141" s="4">
        <f>ROUND(Source!AS124,O141)</f>
        <v>133565.79</v>
      </c>
      <c r="G141" s="4" t="s">
        <v>96</v>
      </c>
      <c r="H141" s="4" t="s">
        <v>97</v>
      </c>
      <c r="I141" s="4"/>
      <c r="J141" s="4"/>
      <c r="K141" s="4">
        <v>214</v>
      </c>
      <c r="L141" s="4">
        <v>16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215</v>
      </c>
      <c r="F142" s="4">
        <f>ROUND(Source!AT124,O142)</f>
        <v>0</v>
      </c>
      <c r="G142" s="4" t="s">
        <v>98</v>
      </c>
      <c r="H142" s="4" t="s">
        <v>99</v>
      </c>
      <c r="I142" s="4"/>
      <c r="J142" s="4"/>
      <c r="K142" s="4">
        <v>215</v>
      </c>
      <c r="L142" s="4">
        <v>17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217</v>
      </c>
      <c r="F143" s="4">
        <f>ROUND(Source!AU124,O143)</f>
        <v>0</v>
      </c>
      <c r="G143" s="4" t="s">
        <v>100</v>
      </c>
      <c r="H143" s="4" t="s">
        <v>101</v>
      </c>
      <c r="I143" s="4"/>
      <c r="J143" s="4"/>
      <c r="K143" s="4">
        <v>217</v>
      </c>
      <c r="L143" s="4">
        <v>18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230</v>
      </c>
      <c r="F144" s="4">
        <f>ROUND(Source!BA124,O144)</f>
        <v>0</v>
      </c>
      <c r="G144" s="4" t="s">
        <v>102</v>
      </c>
      <c r="H144" s="4" t="s">
        <v>103</v>
      </c>
      <c r="I144" s="4"/>
      <c r="J144" s="4"/>
      <c r="K144" s="4">
        <v>230</v>
      </c>
      <c r="L144" s="4">
        <v>19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206</v>
      </c>
      <c r="F145" s="4">
        <f>ROUND(Source!T124,O145)</f>
        <v>0</v>
      </c>
      <c r="G145" s="4" t="s">
        <v>104</v>
      </c>
      <c r="H145" s="4" t="s">
        <v>105</v>
      </c>
      <c r="I145" s="4"/>
      <c r="J145" s="4"/>
      <c r="K145" s="4">
        <v>206</v>
      </c>
      <c r="L145" s="4">
        <v>20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207</v>
      </c>
      <c r="F146" s="4">
        <f>Source!U124</f>
        <v>118.04752875</v>
      </c>
      <c r="G146" s="4" t="s">
        <v>106</v>
      </c>
      <c r="H146" s="4" t="s">
        <v>107</v>
      </c>
      <c r="I146" s="4"/>
      <c r="J146" s="4"/>
      <c r="K146" s="4">
        <v>207</v>
      </c>
      <c r="L146" s="4">
        <v>21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208</v>
      </c>
      <c r="F147" s="4">
        <f>Source!V124</f>
        <v>72.822434999999999</v>
      </c>
      <c r="G147" s="4" t="s">
        <v>108</v>
      </c>
      <c r="H147" s="4" t="s">
        <v>109</v>
      </c>
      <c r="I147" s="4"/>
      <c r="J147" s="4"/>
      <c r="K147" s="4">
        <v>208</v>
      </c>
      <c r="L147" s="4">
        <v>22</v>
      </c>
      <c r="M147" s="4">
        <v>3</v>
      </c>
      <c r="N147" s="4" t="s">
        <v>3</v>
      </c>
      <c r="O147" s="4">
        <v>-1</v>
      </c>
      <c r="P147" s="4"/>
      <c r="Q147" s="4"/>
      <c r="R147" s="4"/>
      <c r="S147" s="4"/>
      <c r="T147" s="4"/>
      <c r="U147" s="4"/>
      <c r="V147" s="4"/>
      <c r="W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209</v>
      </c>
      <c r="F148" s="4">
        <f>ROUND(Source!W124,O148)</f>
        <v>0</v>
      </c>
      <c r="G148" s="4" t="s">
        <v>110</v>
      </c>
      <c r="H148" s="4" t="s">
        <v>111</v>
      </c>
      <c r="I148" s="4"/>
      <c r="J148" s="4"/>
      <c r="K148" s="4">
        <v>209</v>
      </c>
      <c r="L148" s="4">
        <v>23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233</v>
      </c>
      <c r="F149" s="4">
        <f>ROUND(Source!BD124,O149)</f>
        <v>0</v>
      </c>
      <c r="G149" s="4" t="s">
        <v>112</v>
      </c>
      <c r="H149" s="4" t="s">
        <v>113</v>
      </c>
      <c r="I149" s="4"/>
      <c r="J149" s="4"/>
      <c r="K149" s="4">
        <v>233</v>
      </c>
      <c r="L149" s="4">
        <v>24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210</v>
      </c>
      <c r="F150" s="4">
        <f>ROUND(Source!X124,O150)</f>
        <v>2658.51</v>
      </c>
      <c r="G150" s="4" t="s">
        <v>114</v>
      </c>
      <c r="H150" s="4" t="s">
        <v>115</v>
      </c>
      <c r="I150" s="4"/>
      <c r="J150" s="4"/>
      <c r="K150" s="4">
        <v>210</v>
      </c>
      <c r="L150" s="4">
        <v>25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211</v>
      </c>
      <c r="F151" s="4">
        <f>ROUND(Source!Y124,O151)</f>
        <v>1516.49</v>
      </c>
      <c r="G151" s="4" t="s">
        <v>116</v>
      </c>
      <c r="H151" s="4" t="s">
        <v>117</v>
      </c>
      <c r="I151" s="4"/>
      <c r="J151" s="4"/>
      <c r="K151" s="4">
        <v>211</v>
      </c>
      <c r="L151" s="4">
        <v>26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224</v>
      </c>
      <c r="F152" s="4">
        <f>ROUND(Source!AR124,O152)</f>
        <v>133565.79</v>
      </c>
      <c r="G152" s="4" t="s">
        <v>118</v>
      </c>
      <c r="H152" s="4" t="s">
        <v>119</v>
      </c>
      <c r="I152" s="4"/>
      <c r="J152" s="4"/>
      <c r="K152" s="4">
        <v>224</v>
      </c>
      <c r="L152" s="4">
        <v>27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4" spans="1:245" x14ac:dyDescent="0.2">
      <c r="A154" s="1">
        <v>5</v>
      </c>
      <c r="B154" s="1">
        <v>1</v>
      </c>
      <c r="C154" s="1"/>
      <c r="D154" s="1">
        <f>ROW(A167)</f>
        <v>167</v>
      </c>
      <c r="E154" s="1"/>
      <c r="F154" s="1" t="s">
        <v>16</v>
      </c>
      <c r="G154" s="1" t="s">
        <v>181</v>
      </c>
      <c r="H154" s="1" t="s">
        <v>3</v>
      </c>
      <c r="I154" s="1">
        <v>0</v>
      </c>
      <c r="J154" s="1"/>
      <c r="K154" s="1">
        <v>-1</v>
      </c>
      <c r="L154" s="1"/>
      <c r="M154" s="1"/>
      <c r="N154" s="1"/>
      <c r="O154" s="1"/>
      <c r="P154" s="1"/>
      <c r="Q154" s="1"/>
      <c r="R154" s="1"/>
      <c r="S154" s="1"/>
      <c r="T154" s="1"/>
      <c r="U154" s="1" t="s">
        <v>3</v>
      </c>
      <c r="V154" s="1">
        <v>0</v>
      </c>
      <c r="W154" s="1"/>
      <c r="X154" s="1"/>
      <c r="Y154" s="1"/>
      <c r="Z154" s="1"/>
      <c r="AA154" s="1"/>
      <c r="AB154" s="1" t="s">
        <v>3</v>
      </c>
      <c r="AC154" s="1" t="s">
        <v>3</v>
      </c>
      <c r="AD154" s="1" t="s">
        <v>3</v>
      </c>
      <c r="AE154" s="1" t="s">
        <v>3</v>
      </c>
      <c r="AF154" s="1" t="s">
        <v>3</v>
      </c>
      <c r="AG154" s="1" t="s">
        <v>3</v>
      </c>
      <c r="AH154" s="1"/>
      <c r="AI154" s="1"/>
      <c r="AJ154" s="1"/>
      <c r="AK154" s="1"/>
      <c r="AL154" s="1"/>
      <c r="AM154" s="1"/>
      <c r="AN154" s="1"/>
      <c r="AO154" s="1"/>
      <c r="AP154" s="1" t="s">
        <v>3</v>
      </c>
      <c r="AQ154" s="1" t="s">
        <v>3</v>
      </c>
      <c r="AR154" s="1" t="s">
        <v>3</v>
      </c>
      <c r="AS154" s="1"/>
      <c r="AT154" s="1"/>
      <c r="AU154" s="1"/>
      <c r="AV154" s="1"/>
      <c r="AW154" s="1"/>
      <c r="AX154" s="1"/>
      <c r="AY154" s="1"/>
      <c r="AZ154" s="1" t="s">
        <v>3</v>
      </c>
      <c r="BA154" s="1"/>
      <c r="BB154" s="1" t="s">
        <v>3</v>
      </c>
      <c r="BC154" s="1" t="s">
        <v>3</v>
      </c>
      <c r="BD154" s="1" t="s">
        <v>12</v>
      </c>
      <c r="BE154" s="1" t="s">
        <v>12</v>
      </c>
      <c r="BF154" s="1" t="s">
        <v>13</v>
      </c>
      <c r="BG154" s="1" t="s">
        <v>3</v>
      </c>
      <c r="BH154" s="1" t="s">
        <v>13</v>
      </c>
      <c r="BI154" s="1" t="s">
        <v>12</v>
      </c>
      <c r="BJ154" s="1" t="s">
        <v>3</v>
      </c>
      <c r="BK154" s="1" t="s">
        <v>3</v>
      </c>
      <c r="BL154" s="1" t="s">
        <v>3</v>
      </c>
      <c r="BM154" s="1" t="s">
        <v>3</v>
      </c>
      <c r="BN154" s="1" t="s">
        <v>12</v>
      </c>
      <c r="BO154" s="1" t="s">
        <v>3</v>
      </c>
      <c r="BP154" s="1" t="s">
        <v>3</v>
      </c>
      <c r="BQ154" s="1"/>
      <c r="BR154" s="1"/>
      <c r="BS154" s="1"/>
      <c r="BT154" s="1"/>
      <c r="BU154" s="1"/>
      <c r="BV154" s="1"/>
      <c r="BW154" s="1"/>
      <c r="BX154" s="1">
        <v>0</v>
      </c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>
        <v>0</v>
      </c>
    </row>
    <row r="156" spans="1:245" x14ac:dyDescent="0.2">
      <c r="A156" s="2">
        <v>52</v>
      </c>
      <c r="B156" s="2">
        <f t="shared" ref="B156:G156" si="115">B167</f>
        <v>1</v>
      </c>
      <c r="C156" s="2">
        <f t="shared" si="115"/>
        <v>5</v>
      </c>
      <c r="D156" s="2">
        <f t="shared" si="115"/>
        <v>154</v>
      </c>
      <c r="E156" s="2">
        <f t="shared" si="115"/>
        <v>0</v>
      </c>
      <c r="F156" s="2" t="str">
        <f t="shared" si="115"/>
        <v>Новый подраздел</v>
      </c>
      <c r="G156" s="2" t="str">
        <f t="shared" si="115"/>
        <v>Установка бортовых камней БК 100.30.15 -331,2м</v>
      </c>
      <c r="H156" s="2"/>
      <c r="I156" s="2"/>
      <c r="J156" s="2"/>
      <c r="K156" s="2"/>
      <c r="L156" s="2"/>
      <c r="M156" s="2"/>
      <c r="N156" s="2"/>
      <c r="O156" s="2">
        <f t="shared" ref="O156:AT156" si="116">O167</f>
        <v>35000.58</v>
      </c>
      <c r="P156" s="2">
        <f t="shared" si="116"/>
        <v>31656.35</v>
      </c>
      <c r="Q156" s="2">
        <f t="shared" si="116"/>
        <v>967.45</v>
      </c>
      <c r="R156" s="2">
        <f t="shared" si="116"/>
        <v>57.74</v>
      </c>
      <c r="S156" s="2">
        <f t="shared" si="116"/>
        <v>2376.7800000000002</v>
      </c>
      <c r="T156" s="2">
        <f t="shared" si="116"/>
        <v>0</v>
      </c>
      <c r="U156" s="2">
        <f t="shared" si="116"/>
        <v>350.29078659999993</v>
      </c>
      <c r="V156" s="2">
        <f t="shared" si="116"/>
        <v>4.3498999999999999</v>
      </c>
      <c r="W156" s="2">
        <f t="shared" si="116"/>
        <v>0</v>
      </c>
      <c r="X156" s="2">
        <f t="shared" si="116"/>
        <v>3226.23</v>
      </c>
      <c r="Y156" s="2">
        <f t="shared" si="116"/>
        <v>1811.89</v>
      </c>
      <c r="Z156" s="2">
        <f t="shared" si="116"/>
        <v>0</v>
      </c>
      <c r="AA156" s="2">
        <f t="shared" si="116"/>
        <v>0</v>
      </c>
      <c r="AB156" s="2">
        <f t="shared" si="116"/>
        <v>35000.58</v>
      </c>
      <c r="AC156" s="2">
        <f t="shared" si="116"/>
        <v>31656.35</v>
      </c>
      <c r="AD156" s="2">
        <f t="shared" si="116"/>
        <v>967.45</v>
      </c>
      <c r="AE156" s="2">
        <f t="shared" si="116"/>
        <v>57.74</v>
      </c>
      <c r="AF156" s="2">
        <f t="shared" si="116"/>
        <v>2376.7800000000002</v>
      </c>
      <c r="AG156" s="2">
        <f t="shared" si="116"/>
        <v>0</v>
      </c>
      <c r="AH156" s="2">
        <f t="shared" si="116"/>
        <v>350.29078659999993</v>
      </c>
      <c r="AI156" s="2">
        <f t="shared" si="116"/>
        <v>4.3498999999999999</v>
      </c>
      <c r="AJ156" s="2">
        <f t="shared" si="116"/>
        <v>0</v>
      </c>
      <c r="AK156" s="2">
        <f t="shared" si="116"/>
        <v>3226.23</v>
      </c>
      <c r="AL156" s="2">
        <f t="shared" si="116"/>
        <v>1811.89</v>
      </c>
      <c r="AM156" s="2">
        <f t="shared" si="116"/>
        <v>0</v>
      </c>
      <c r="AN156" s="2">
        <f t="shared" si="116"/>
        <v>0</v>
      </c>
      <c r="AO156" s="2">
        <f t="shared" si="116"/>
        <v>0</v>
      </c>
      <c r="AP156" s="2">
        <f t="shared" si="116"/>
        <v>0</v>
      </c>
      <c r="AQ156" s="2">
        <f t="shared" si="116"/>
        <v>0</v>
      </c>
      <c r="AR156" s="2">
        <f t="shared" si="116"/>
        <v>40038.699999999997</v>
      </c>
      <c r="AS156" s="2">
        <f t="shared" si="116"/>
        <v>40038.699999999997</v>
      </c>
      <c r="AT156" s="2">
        <f t="shared" si="116"/>
        <v>0</v>
      </c>
      <c r="AU156" s="2">
        <f t="shared" ref="AU156:BZ156" si="117">AU167</f>
        <v>0</v>
      </c>
      <c r="AV156" s="2">
        <f t="shared" si="117"/>
        <v>31656.35</v>
      </c>
      <c r="AW156" s="2">
        <f t="shared" si="117"/>
        <v>31656.35</v>
      </c>
      <c r="AX156" s="2">
        <f t="shared" si="117"/>
        <v>0</v>
      </c>
      <c r="AY156" s="2">
        <f t="shared" si="117"/>
        <v>31656.35</v>
      </c>
      <c r="AZ156" s="2">
        <f t="shared" si="117"/>
        <v>0</v>
      </c>
      <c r="BA156" s="2">
        <f t="shared" si="117"/>
        <v>0</v>
      </c>
      <c r="BB156" s="2">
        <f t="shared" si="117"/>
        <v>0</v>
      </c>
      <c r="BC156" s="2">
        <f t="shared" si="117"/>
        <v>0</v>
      </c>
      <c r="BD156" s="2">
        <f t="shared" si="117"/>
        <v>389.94</v>
      </c>
      <c r="BE156" s="2">
        <f t="shared" si="117"/>
        <v>0</v>
      </c>
      <c r="BF156" s="2">
        <f t="shared" si="117"/>
        <v>0</v>
      </c>
      <c r="BG156" s="2">
        <f t="shared" si="117"/>
        <v>0</v>
      </c>
      <c r="BH156" s="2">
        <f t="shared" si="117"/>
        <v>0</v>
      </c>
      <c r="BI156" s="2">
        <f t="shared" si="117"/>
        <v>0</v>
      </c>
      <c r="BJ156" s="2">
        <f t="shared" si="117"/>
        <v>0</v>
      </c>
      <c r="BK156" s="2">
        <f t="shared" si="117"/>
        <v>0</v>
      </c>
      <c r="BL156" s="2">
        <f t="shared" si="117"/>
        <v>0</v>
      </c>
      <c r="BM156" s="2">
        <f t="shared" si="117"/>
        <v>0</v>
      </c>
      <c r="BN156" s="2">
        <f t="shared" si="117"/>
        <v>0</v>
      </c>
      <c r="BO156" s="2">
        <f t="shared" si="117"/>
        <v>0</v>
      </c>
      <c r="BP156" s="2">
        <f t="shared" si="117"/>
        <v>0</v>
      </c>
      <c r="BQ156" s="2">
        <f t="shared" si="117"/>
        <v>0</v>
      </c>
      <c r="BR156" s="2">
        <f t="shared" si="117"/>
        <v>0</v>
      </c>
      <c r="BS156" s="2">
        <f t="shared" si="117"/>
        <v>0</v>
      </c>
      <c r="BT156" s="2">
        <f t="shared" si="117"/>
        <v>0</v>
      </c>
      <c r="BU156" s="2">
        <f t="shared" si="117"/>
        <v>0</v>
      </c>
      <c r="BV156" s="2">
        <f t="shared" si="117"/>
        <v>0</v>
      </c>
      <c r="BW156" s="2">
        <f t="shared" si="117"/>
        <v>0</v>
      </c>
      <c r="BX156" s="2">
        <f t="shared" si="117"/>
        <v>0</v>
      </c>
      <c r="BY156" s="2">
        <f t="shared" si="117"/>
        <v>0</v>
      </c>
      <c r="BZ156" s="2">
        <f t="shared" si="117"/>
        <v>0</v>
      </c>
      <c r="CA156" s="2">
        <f t="shared" ref="CA156:DF156" si="118">CA167</f>
        <v>40038.699999999997</v>
      </c>
      <c r="CB156" s="2">
        <f t="shared" si="118"/>
        <v>40038.699999999997</v>
      </c>
      <c r="CC156" s="2">
        <f t="shared" si="118"/>
        <v>0</v>
      </c>
      <c r="CD156" s="2">
        <f t="shared" si="118"/>
        <v>0</v>
      </c>
      <c r="CE156" s="2">
        <f t="shared" si="118"/>
        <v>31656.35</v>
      </c>
      <c r="CF156" s="2">
        <f t="shared" si="118"/>
        <v>31656.35</v>
      </c>
      <c r="CG156" s="2">
        <f t="shared" si="118"/>
        <v>0</v>
      </c>
      <c r="CH156" s="2">
        <f t="shared" si="118"/>
        <v>31656.35</v>
      </c>
      <c r="CI156" s="2">
        <f t="shared" si="118"/>
        <v>0</v>
      </c>
      <c r="CJ156" s="2">
        <f t="shared" si="118"/>
        <v>0</v>
      </c>
      <c r="CK156" s="2">
        <f t="shared" si="118"/>
        <v>0</v>
      </c>
      <c r="CL156" s="2">
        <f t="shared" si="118"/>
        <v>0</v>
      </c>
      <c r="CM156" s="2">
        <f t="shared" si="118"/>
        <v>389.94</v>
      </c>
      <c r="CN156" s="2">
        <f t="shared" si="118"/>
        <v>0</v>
      </c>
      <c r="CO156" s="2">
        <f t="shared" si="118"/>
        <v>0</v>
      </c>
      <c r="CP156" s="2">
        <f t="shared" si="118"/>
        <v>0</v>
      </c>
      <c r="CQ156" s="2">
        <f t="shared" si="118"/>
        <v>0</v>
      </c>
      <c r="CR156" s="2">
        <f t="shared" si="118"/>
        <v>0</v>
      </c>
      <c r="CS156" s="2">
        <f t="shared" si="118"/>
        <v>0</v>
      </c>
      <c r="CT156" s="2">
        <f t="shared" si="118"/>
        <v>0</v>
      </c>
      <c r="CU156" s="2">
        <f t="shared" si="118"/>
        <v>0</v>
      </c>
      <c r="CV156" s="2">
        <f t="shared" si="118"/>
        <v>0</v>
      </c>
      <c r="CW156" s="2">
        <f t="shared" si="118"/>
        <v>0</v>
      </c>
      <c r="CX156" s="2">
        <f t="shared" si="118"/>
        <v>0</v>
      </c>
      <c r="CY156" s="2">
        <f t="shared" si="118"/>
        <v>0</v>
      </c>
      <c r="CZ156" s="2">
        <f t="shared" si="118"/>
        <v>0</v>
      </c>
      <c r="DA156" s="2">
        <f t="shared" si="118"/>
        <v>0</v>
      </c>
      <c r="DB156" s="2">
        <f t="shared" si="118"/>
        <v>0</v>
      </c>
      <c r="DC156" s="2">
        <f t="shared" si="118"/>
        <v>0</v>
      </c>
      <c r="DD156" s="2">
        <f t="shared" si="118"/>
        <v>0</v>
      </c>
      <c r="DE156" s="2">
        <f t="shared" si="118"/>
        <v>0</v>
      </c>
      <c r="DF156" s="2">
        <f t="shared" si="118"/>
        <v>0</v>
      </c>
      <c r="DG156" s="3">
        <f t="shared" ref="DG156:EL156" si="119">DG167</f>
        <v>0</v>
      </c>
      <c r="DH156" s="3">
        <f t="shared" si="119"/>
        <v>0</v>
      </c>
      <c r="DI156" s="3">
        <f t="shared" si="119"/>
        <v>0</v>
      </c>
      <c r="DJ156" s="3">
        <f t="shared" si="119"/>
        <v>0</v>
      </c>
      <c r="DK156" s="3">
        <f t="shared" si="119"/>
        <v>0</v>
      </c>
      <c r="DL156" s="3">
        <f t="shared" si="119"/>
        <v>0</v>
      </c>
      <c r="DM156" s="3">
        <f t="shared" si="119"/>
        <v>0</v>
      </c>
      <c r="DN156" s="3">
        <f t="shared" si="119"/>
        <v>0</v>
      </c>
      <c r="DO156" s="3">
        <f t="shared" si="119"/>
        <v>0</v>
      </c>
      <c r="DP156" s="3">
        <f t="shared" si="119"/>
        <v>0</v>
      </c>
      <c r="DQ156" s="3">
        <f t="shared" si="119"/>
        <v>0</v>
      </c>
      <c r="DR156" s="3">
        <f t="shared" si="119"/>
        <v>0</v>
      </c>
      <c r="DS156" s="3">
        <f t="shared" si="119"/>
        <v>0</v>
      </c>
      <c r="DT156" s="3">
        <f t="shared" si="119"/>
        <v>0</v>
      </c>
      <c r="DU156" s="3">
        <f t="shared" si="119"/>
        <v>0</v>
      </c>
      <c r="DV156" s="3">
        <f t="shared" si="119"/>
        <v>0</v>
      </c>
      <c r="DW156" s="3">
        <f t="shared" si="119"/>
        <v>0</v>
      </c>
      <c r="DX156" s="3">
        <f t="shared" si="119"/>
        <v>0</v>
      </c>
      <c r="DY156" s="3">
        <f t="shared" si="119"/>
        <v>0</v>
      </c>
      <c r="DZ156" s="3">
        <f t="shared" si="119"/>
        <v>0</v>
      </c>
      <c r="EA156" s="3">
        <f t="shared" si="119"/>
        <v>0</v>
      </c>
      <c r="EB156" s="3">
        <f t="shared" si="119"/>
        <v>0</v>
      </c>
      <c r="EC156" s="3">
        <f t="shared" si="119"/>
        <v>0</v>
      </c>
      <c r="ED156" s="3">
        <f t="shared" si="119"/>
        <v>0</v>
      </c>
      <c r="EE156" s="3">
        <f t="shared" si="119"/>
        <v>0</v>
      </c>
      <c r="EF156" s="3">
        <f t="shared" si="119"/>
        <v>0</v>
      </c>
      <c r="EG156" s="3">
        <f t="shared" si="119"/>
        <v>0</v>
      </c>
      <c r="EH156" s="3">
        <f t="shared" si="119"/>
        <v>0</v>
      </c>
      <c r="EI156" s="3">
        <f t="shared" si="119"/>
        <v>0</v>
      </c>
      <c r="EJ156" s="3">
        <f t="shared" si="119"/>
        <v>0</v>
      </c>
      <c r="EK156" s="3">
        <f t="shared" si="119"/>
        <v>0</v>
      </c>
      <c r="EL156" s="3">
        <f t="shared" si="119"/>
        <v>0</v>
      </c>
      <c r="EM156" s="3">
        <f t="shared" ref="EM156:FR156" si="120">EM167</f>
        <v>0</v>
      </c>
      <c r="EN156" s="3">
        <f t="shared" si="120"/>
        <v>0</v>
      </c>
      <c r="EO156" s="3">
        <f t="shared" si="120"/>
        <v>0</v>
      </c>
      <c r="EP156" s="3">
        <f t="shared" si="120"/>
        <v>0</v>
      </c>
      <c r="EQ156" s="3">
        <f t="shared" si="120"/>
        <v>0</v>
      </c>
      <c r="ER156" s="3">
        <f t="shared" si="120"/>
        <v>0</v>
      </c>
      <c r="ES156" s="3">
        <f t="shared" si="120"/>
        <v>0</v>
      </c>
      <c r="ET156" s="3">
        <f t="shared" si="120"/>
        <v>0</v>
      </c>
      <c r="EU156" s="3">
        <f t="shared" si="120"/>
        <v>0</v>
      </c>
      <c r="EV156" s="3">
        <f t="shared" si="120"/>
        <v>0</v>
      </c>
      <c r="EW156" s="3">
        <f t="shared" si="120"/>
        <v>0</v>
      </c>
      <c r="EX156" s="3">
        <f t="shared" si="120"/>
        <v>0</v>
      </c>
      <c r="EY156" s="3">
        <f t="shared" si="120"/>
        <v>0</v>
      </c>
      <c r="EZ156" s="3">
        <f t="shared" si="120"/>
        <v>0</v>
      </c>
      <c r="FA156" s="3">
        <f t="shared" si="120"/>
        <v>0</v>
      </c>
      <c r="FB156" s="3">
        <f t="shared" si="120"/>
        <v>0</v>
      </c>
      <c r="FC156" s="3">
        <f t="shared" si="120"/>
        <v>0</v>
      </c>
      <c r="FD156" s="3">
        <f t="shared" si="120"/>
        <v>0</v>
      </c>
      <c r="FE156" s="3">
        <f t="shared" si="120"/>
        <v>0</v>
      </c>
      <c r="FF156" s="3">
        <f t="shared" si="120"/>
        <v>0</v>
      </c>
      <c r="FG156" s="3">
        <f t="shared" si="120"/>
        <v>0</v>
      </c>
      <c r="FH156" s="3">
        <f t="shared" si="120"/>
        <v>0</v>
      </c>
      <c r="FI156" s="3">
        <f t="shared" si="120"/>
        <v>0</v>
      </c>
      <c r="FJ156" s="3">
        <f t="shared" si="120"/>
        <v>0</v>
      </c>
      <c r="FK156" s="3">
        <f t="shared" si="120"/>
        <v>0</v>
      </c>
      <c r="FL156" s="3">
        <f t="shared" si="120"/>
        <v>0</v>
      </c>
      <c r="FM156" s="3">
        <f t="shared" si="120"/>
        <v>0</v>
      </c>
      <c r="FN156" s="3">
        <f t="shared" si="120"/>
        <v>0</v>
      </c>
      <c r="FO156" s="3">
        <f t="shared" si="120"/>
        <v>0</v>
      </c>
      <c r="FP156" s="3">
        <f t="shared" si="120"/>
        <v>0</v>
      </c>
      <c r="FQ156" s="3">
        <f t="shared" si="120"/>
        <v>0</v>
      </c>
      <c r="FR156" s="3">
        <f t="shared" si="120"/>
        <v>0</v>
      </c>
      <c r="FS156" s="3">
        <f t="shared" ref="FS156:GX156" si="121">FS167</f>
        <v>0</v>
      </c>
      <c r="FT156" s="3">
        <f t="shared" si="121"/>
        <v>0</v>
      </c>
      <c r="FU156" s="3">
        <f t="shared" si="121"/>
        <v>0</v>
      </c>
      <c r="FV156" s="3">
        <f t="shared" si="121"/>
        <v>0</v>
      </c>
      <c r="FW156" s="3">
        <f t="shared" si="121"/>
        <v>0</v>
      </c>
      <c r="FX156" s="3">
        <f t="shared" si="121"/>
        <v>0</v>
      </c>
      <c r="FY156" s="3">
        <f t="shared" si="121"/>
        <v>0</v>
      </c>
      <c r="FZ156" s="3">
        <f t="shared" si="121"/>
        <v>0</v>
      </c>
      <c r="GA156" s="3">
        <f t="shared" si="121"/>
        <v>0</v>
      </c>
      <c r="GB156" s="3">
        <f t="shared" si="121"/>
        <v>0</v>
      </c>
      <c r="GC156" s="3">
        <f t="shared" si="121"/>
        <v>0</v>
      </c>
      <c r="GD156" s="3">
        <f t="shared" si="121"/>
        <v>0</v>
      </c>
      <c r="GE156" s="3">
        <f t="shared" si="121"/>
        <v>0</v>
      </c>
      <c r="GF156" s="3">
        <f t="shared" si="121"/>
        <v>0</v>
      </c>
      <c r="GG156" s="3">
        <f t="shared" si="121"/>
        <v>0</v>
      </c>
      <c r="GH156" s="3">
        <f t="shared" si="121"/>
        <v>0</v>
      </c>
      <c r="GI156" s="3">
        <f t="shared" si="121"/>
        <v>0</v>
      </c>
      <c r="GJ156" s="3">
        <f t="shared" si="121"/>
        <v>0</v>
      </c>
      <c r="GK156" s="3">
        <f t="shared" si="121"/>
        <v>0</v>
      </c>
      <c r="GL156" s="3">
        <f t="shared" si="121"/>
        <v>0</v>
      </c>
      <c r="GM156" s="3">
        <f t="shared" si="121"/>
        <v>0</v>
      </c>
      <c r="GN156" s="3">
        <f t="shared" si="121"/>
        <v>0</v>
      </c>
      <c r="GO156" s="3">
        <f t="shared" si="121"/>
        <v>0</v>
      </c>
      <c r="GP156" s="3">
        <f t="shared" si="121"/>
        <v>0</v>
      </c>
      <c r="GQ156" s="3">
        <f t="shared" si="121"/>
        <v>0</v>
      </c>
      <c r="GR156" s="3">
        <f t="shared" si="121"/>
        <v>0</v>
      </c>
      <c r="GS156" s="3">
        <f t="shared" si="121"/>
        <v>0</v>
      </c>
      <c r="GT156" s="3">
        <f t="shared" si="121"/>
        <v>0</v>
      </c>
      <c r="GU156" s="3">
        <f t="shared" si="121"/>
        <v>0</v>
      </c>
      <c r="GV156" s="3">
        <f t="shared" si="121"/>
        <v>0</v>
      </c>
      <c r="GW156" s="3">
        <f t="shared" si="121"/>
        <v>0</v>
      </c>
      <c r="GX156" s="3">
        <f t="shared" si="121"/>
        <v>0</v>
      </c>
    </row>
    <row r="158" spans="1:245" x14ac:dyDescent="0.2">
      <c r="A158">
        <v>17</v>
      </c>
      <c r="B158">
        <v>1</v>
      </c>
      <c r="C158">
        <f>ROW(SmtRes!A89)</f>
        <v>89</v>
      </c>
      <c r="D158">
        <f>ROW(EtalonRes!A88)</f>
        <v>88</v>
      </c>
      <c r="E158" t="s">
        <v>182</v>
      </c>
      <c r="F158" t="s">
        <v>183</v>
      </c>
      <c r="G158" t="s">
        <v>184</v>
      </c>
      <c r="H158" t="s">
        <v>185</v>
      </c>
      <c r="I158">
        <f>ROUND((I161*100*0.09)/100,4)</f>
        <v>0.29809999999999998</v>
      </c>
      <c r="J158">
        <v>0</v>
      </c>
      <c r="O158">
        <f t="shared" ref="O158:O165" si="122">ROUND(CP158,2)</f>
        <v>335.24</v>
      </c>
      <c r="P158">
        <f t="shared" ref="P158:P165" si="123">ROUND(CQ158*I158,2)</f>
        <v>0</v>
      </c>
      <c r="Q158">
        <f t="shared" ref="Q158:Q165" si="124">ROUND(CR158*I158,2)</f>
        <v>0</v>
      </c>
      <c r="R158">
        <f t="shared" ref="R158:R165" si="125">ROUND(CS158*I158,2)</f>
        <v>0</v>
      </c>
      <c r="S158">
        <f t="shared" ref="S158:S165" si="126">ROUND(CT158*I158,2)</f>
        <v>335.24</v>
      </c>
      <c r="T158">
        <f t="shared" ref="T158:T165" si="127">ROUND(CU158*I158,2)</f>
        <v>0</v>
      </c>
      <c r="U158">
        <f t="shared" ref="U158:U165" si="128">CV158*I158</f>
        <v>52.793509999999991</v>
      </c>
      <c r="V158">
        <f t="shared" ref="V158:V165" si="129">CW158*I158</f>
        <v>0</v>
      </c>
      <c r="W158">
        <f t="shared" ref="W158:W165" si="130">ROUND(CX158*I158,2)</f>
        <v>0</v>
      </c>
      <c r="X158">
        <f t="shared" ref="X158:Y165" si="131">ROUND(CY158,2)</f>
        <v>268.19</v>
      </c>
      <c r="Y158">
        <f t="shared" si="131"/>
        <v>127.39</v>
      </c>
      <c r="AA158">
        <v>39201625</v>
      </c>
      <c r="AB158">
        <f t="shared" ref="AB158:AB165" si="132">ROUND((AC158+AD158+AF158),2)</f>
        <v>1124.5899999999999</v>
      </c>
      <c r="AC158">
        <f t="shared" ref="AC158:AC165" si="133">ROUND((ES158),2)</f>
        <v>0</v>
      </c>
      <c r="AD158">
        <f>ROUND(((((ET158*1.25))-((EU158*1.25)))+AE158),2)</f>
        <v>0</v>
      </c>
      <c r="AE158">
        <f>ROUND(((EU158*1.25)),2)</f>
        <v>0</v>
      </c>
      <c r="AF158">
        <f>ROUND(((EV158*1.15)),2)</f>
        <v>1124.5899999999999</v>
      </c>
      <c r="AG158">
        <f t="shared" ref="AG158:AG165" si="134">ROUND((AP158),2)</f>
        <v>0</v>
      </c>
      <c r="AH158">
        <f>((EW158*1.15))</f>
        <v>177.1</v>
      </c>
      <c r="AI158">
        <f>((EX158*1.25))</f>
        <v>0</v>
      </c>
      <c r="AJ158">
        <f t="shared" ref="AJ158:AJ165" si="135">(AS158)</f>
        <v>0</v>
      </c>
      <c r="AK158">
        <v>977.9</v>
      </c>
      <c r="AL158">
        <v>0</v>
      </c>
      <c r="AM158">
        <v>0</v>
      </c>
      <c r="AN158">
        <v>0</v>
      </c>
      <c r="AO158">
        <v>977.9</v>
      </c>
      <c r="AP158">
        <v>0</v>
      </c>
      <c r="AQ158">
        <v>154</v>
      </c>
      <c r="AR158">
        <v>0</v>
      </c>
      <c r="AS158">
        <v>0</v>
      </c>
      <c r="AT158">
        <v>80</v>
      </c>
      <c r="AU158">
        <v>38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1</v>
      </c>
      <c r="BJ158" t="s">
        <v>186</v>
      </c>
      <c r="BM158">
        <v>1003</v>
      </c>
      <c r="BN158">
        <v>0</v>
      </c>
      <c r="BO158" t="s">
        <v>3</v>
      </c>
      <c r="BP158">
        <v>0</v>
      </c>
      <c r="BQ158">
        <v>2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80</v>
      </c>
      <c r="CA158">
        <v>45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ref="CP158:CP165" si="136">(P158+Q158+S158)</f>
        <v>335.24</v>
      </c>
      <c r="CQ158">
        <f t="shared" ref="CQ158:CQ165" si="137">AC158*BC158</f>
        <v>0</v>
      </c>
      <c r="CR158">
        <f t="shared" ref="CR158:CR165" si="138">AD158*BB158</f>
        <v>0</v>
      </c>
      <c r="CS158">
        <f t="shared" ref="CS158:CS165" si="139">AE158*BS158</f>
        <v>0</v>
      </c>
      <c r="CT158">
        <f t="shared" ref="CT158:CT165" si="140">AF158*BA158</f>
        <v>1124.5899999999999</v>
      </c>
      <c r="CU158">
        <f t="shared" ref="CU158:CX165" si="141">AG158</f>
        <v>0</v>
      </c>
      <c r="CV158">
        <f t="shared" si="141"/>
        <v>177.1</v>
      </c>
      <c r="CW158">
        <f t="shared" si="141"/>
        <v>0</v>
      </c>
      <c r="CX158">
        <f t="shared" si="141"/>
        <v>0</v>
      </c>
      <c r="CY158">
        <f t="shared" ref="CY158:CY163" si="142">(((S158+R158)*ROUND((FX158*IF((0=0),(IF(0,1,1)*1*IF(1,1,1)),1)),0))/100)</f>
        <v>268.19200000000001</v>
      </c>
      <c r="CZ158">
        <f t="shared" ref="CZ158:CZ163" si="143">(((S158+R158)*ROUND((FY158*IF((0=0),(1*IF(1,1,1)),1)),0))/100)</f>
        <v>127.39120000000001</v>
      </c>
      <c r="DC158" t="s">
        <v>3</v>
      </c>
      <c r="DD158" t="s">
        <v>3</v>
      </c>
      <c r="DE158" t="s">
        <v>12</v>
      </c>
      <c r="DF158" t="s">
        <v>12</v>
      </c>
      <c r="DG158" t="s">
        <v>13</v>
      </c>
      <c r="DH158" t="s">
        <v>3</v>
      </c>
      <c r="DI158" t="s">
        <v>13</v>
      </c>
      <c r="DJ158" t="s">
        <v>12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1013</v>
      </c>
      <c r="DV158" t="s">
        <v>185</v>
      </c>
      <c r="DW158" t="s">
        <v>185</v>
      </c>
      <c r="DX158">
        <v>1</v>
      </c>
      <c r="EE158">
        <v>39190872</v>
      </c>
      <c r="EF158">
        <v>2</v>
      </c>
      <c r="EG158" t="s">
        <v>31</v>
      </c>
      <c r="EH158">
        <v>0</v>
      </c>
      <c r="EI158" t="s">
        <v>3</v>
      </c>
      <c r="EJ158">
        <v>1</v>
      </c>
      <c r="EK158">
        <v>1003</v>
      </c>
      <c r="EL158" t="s">
        <v>187</v>
      </c>
      <c r="EM158" t="s">
        <v>46</v>
      </c>
      <c r="EO158" t="s">
        <v>3</v>
      </c>
      <c r="EQ158">
        <v>131072</v>
      </c>
      <c r="ER158">
        <v>977.9</v>
      </c>
      <c r="ES158">
        <v>0</v>
      </c>
      <c r="ET158">
        <v>0</v>
      </c>
      <c r="EU158">
        <v>0</v>
      </c>
      <c r="EV158">
        <v>977.9</v>
      </c>
      <c r="EW158">
        <v>154</v>
      </c>
      <c r="EX158">
        <v>0</v>
      </c>
      <c r="EY158">
        <v>0</v>
      </c>
      <c r="FQ158">
        <v>0</v>
      </c>
      <c r="FR158">
        <f t="shared" ref="FR158:FR165" si="144">ROUND(IF(AND(BH158=3,BI158=3),P158,0),2)</f>
        <v>0</v>
      </c>
      <c r="FS158">
        <v>0</v>
      </c>
      <c r="FU158" t="s">
        <v>34</v>
      </c>
      <c r="FX158">
        <v>80</v>
      </c>
      <c r="FY158">
        <v>38.25</v>
      </c>
      <c r="GA158" t="s">
        <v>3</v>
      </c>
      <c r="GD158">
        <v>1</v>
      </c>
      <c r="GF158">
        <v>-584945989</v>
      </c>
      <c r="GG158">
        <v>2</v>
      </c>
      <c r="GH158">
        <v>0</v>
      </c>
      <c r="GI158">
        <v>0</v>
      </c>
      <c r="GJ158">
        <v>0</v>
      </c>
      <c r="GK158">
        <v>0</v>
      </c>
      <c r="GL158">
        <f t="shared" ref="GL158:GL165" si="145">ROUND(IF(AND(BH158=3,BI158=3,FS158&lt;&gt;0),P158,0),2)</f>
        <v>0</v>
      </c>
      <c r="GM158">
        <f t="shared" ref="GM158:GM165" si="146">ROUND(O158+X158+Y158,2)+GX158</f>
        <v>730.82</v>
      </c>
      <c r="GN158">
        <f t="shared" ref="GN158:GN165" si="147">IF(OR(BI158=0,BI158=1),ROUND(O158+X158+Y158,2),0)</f>
        <v>730.82</v>
      </c>
      <c r="GO158">
        <f t="shared" ref="GO158:GO165" si="148">IF(BI158=2,ROUND(O158+X158+Y158,2),0)</f>
        <v>0</v>
      </c>
      <c r="GP158">
        <f t="shared" ref="GP158:GP165" si="149">IF(BI158=4,ROUND(O158+X158+Y158,2)+GX158,0)</f>
        <v>0</v>
      </c>
      <c r="GR158">
        <v>0</v>
      </c>
      <c r="GS158">
        <v>0</v>
      </c>
      <c r="GT158">
        <v>0</v>
      </c>
      <c r="GU158" t="s">
        <v>3</v>
      </c>
      <c r="GV158">
        <f t="shared" ref="GV158:GV165" si="150">ROUND((GT158),2)</f>
        <v>0</v>
      </c>
      <c r="GW158">
        <v>1</v>
      </c>
      <c r="GX158">
        <f t="shared" ref="GX158:GX165" si="151">ROUND(HC158*I158,2)</f>
        <v>0</v>
      </c>
      <c r="HA158">
        <v>0</v>
      </c>
      <c r="HB158">
        <v>0</v>
      </c>
      <c r="HC158">
        <f t="shared" ref="HC158:HC165" si="152">GV158*GW158</f>
        <v>0</v>
      </c>
      <c r="IK158">
        <v>0</v>
      </c>
    </row>
    <row r="159" spans="1:245" x14ac:dyDescent="0.2">
      <c r="A159">
        <v>17</v>
      </c>
      <c r="B159">
        <v>1</v>
      </c>
      <c r="C159">
        <f>ROW(SmtRes!A98)</f>
        <v>98</v>
      </c>
      <c r="D159">
        <f>ROW(EtalonRes!A97)</f>
        <v>97</v>
      </c>
      <c r="E159" t="s">
        <v>188</v>
      </c>
      <c r="F159" t="s">
        <v>133</v>
      </c>
      <c r="G159" t="s">
        <v>137</v>
      </c>
      <c r="H159" t="s">
        <v>125</v>
      </c>
      <c r="I159">
        <f>ROUND((I161*100*0.1*0.18)/100,4)</f>
        <v>5.96E-2</v>
      </c>
      <c r="J159">
        <v>0</v>
      </c>
      <c r="O159">
        <f t="shared" si="122"/>
        <v>260.41000000000003</v>
      </c>
      <c r="P159">
        <f t="shared" si="123"/>
        <v>0.94</v>
      </c>
      <c r="Q159">
        <f t="shared" si="124"/>
        <v>248.56</v>
      </c>
      <c r="R159">
        <f t="shared" si="125"/>
        <v>20.38</v>
      </c>
      <c r="S159">
        <f t="shared" si="126"/>
        <v>10.91</v>
      </c>
      <c r="T159">
        <f t="shared" si="127"/>
        <v>0</v>
      </c>
      <c r="U159">
        <f t="shared" si="128"/>
        <v>1.6579826</v>
      </c>
      <c r="V159">
        <f t="shared" si="129"/>
        <v>1.5347</v>
      </c>
      <c r="W159">
        <f t="shared" si="130"/>
        <v>0</v>
      </c>
      <c r="X159">
        <f t="shared" si="131"/>
        <v>44.43</v>
      </c>
      <c r="Y159">
        <f t="shared" si="131"/>
        <v>25.34</v>
      </c>
      <c r="AA159">
        <v>39201625</v>
      </c>
      <c r="AB159">
        <f t="shared" si="132"/>
        <v>4369.42</v>
      </c>
      <c r="AC159">
        <f t="shared" si="133"/>
        <v>15.82</v>
      </c>
      <c r="AD159">
        <f>ROUND(((((ET159*1.25))-((EU159*1.25)))+AE159),2)</f>
        <v>4170.55</v>
      </c>
      <c r="AE159">
        <f>ROUND(((EU159*1.25)),2)</f>
        <v>341.96</v>
      </c>
      <c r="AF159">
        <f>ROUND(((EV159*1.15)),2)</f>
        <v>183.05</v>
      </c>
      <c r="AG159">
        <f t="shared" si="134"/>
        <v>0</v>
      </c>
      <c r="AH159">
        <f>((EW159*1.15))</f>
        <v>27.8185</v>
      </c>
      <c r="AI159">
        <f>((EX159*1.25))</f>
        <v>25.75</v>
      </c>
      <c r="AJ159">
        <f t="shared" si="135"/>
        <v>0</v>
      </c>
      <c r="AK159">
        <v>3511.43</v>
      </c>
      <c r="AL159">
        <v>15.82</v>
      </c>
      <c r="AM159">
        <v>3336.44</v>
      </c>
      <c r="AN159">
        <v>273.57</v>
      </c>
      <c r="AO159">
        <v>159.16999999999999</v>
      </c>
      <c r="AP159">
        <v>0</v>
      </c>
      <c r="AQ159">
        <v>24.19</v>
      </c>
      <c r="AR159">
        <v>20.6</v>
      </c>
      <c r="AS159">
        <v>0</v>
      </c>
      <c r="AT159">
        <v>142</v>
      </c>
      <c r="AU159">
        <v>81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1</v>
      </c>
      <c r="BJ159" t="s">
        <v>135</v>
      </c>
      <c r="BM159">
        <v>27001</v>
      </c>
      <c r="BN159">
        <v>0</v>
      </c>
      <c r="BO159" t="s">
        <v>3</v>
      </c>
      <c r="BP159">
        <v>0</v>
      </c>
      <c r="BQ159">
        <v>2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142</v>
      </c>
      <c r="CA159">
        <v>95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136"/>
        <v>260.41000000000003</v>
      </c>
      <c r="CQ159">
        <f t="shared" si="137"/>
        <v>15.82</v>
      </c>
      <c r="CR159">
        <f t="shared" si="138"/>
        <v>4170.55</v>
      </c>
      <c r="CS159">
        <f t="shared" si="139"/>
        <v>341.96</v>
      </c>
      <c r="CT159">
        <f t="shared" si="140"/>
        <v>183.05</v>
      </c>
      <c r="CU159">
        <f t="shared" si="141"/>
        <v>0</v>
      </c>
      <c r="CV159">
        <f t="shared" si="141"/>
        <v>27.8185</v>
      </c>
      <c r="CW159">
        <f t="shared" si="141"/>
        <v>25.75</v>
      </c>
      <c r="CX159">
        <f t="shared" si="141"/>
        <v>0</v>
      </c>
      <c r="CY159">
        <f t="shared" si="142"/>
        <v>44.431800000000003</v>
      </c>
      <c r="CZ159">
        <f t="shared" si="143"/>
        <v>25.344899999999999</v>
      </c>
      <c r="DC159" t="s">
        <v>3</v>
      </c>
      <c r="DD159" t="s">
        <v>3</v>
      </c>
      <c r="DE159" t="s">
        <v>12</v>
      </c>
      <c r="DF159" t="s">
        <v>12</v>
      </c>
      <c r="DG159" t="s">
        <v>13</v>
      </c>
      <c r="DH159" t="s">
        <v>3</v>
      </c>
      <c r="DI159" t="s">
        <v>13</v>
      </c>
      <c r="DJ159" t="s">
        <v>12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1013</v>
      </c>
      <c r="DV159" t="s">
        <v>125</v>
      </c>
      <c r="DW159" t="s">
        <v>125</v>
      </c>
      <c r="DX159">
        <v>1</v>
      </c>
      <c r="EE159">
        <v>39190938</v>
      </c>
      <c r="EF159">
        <v>2</v>
      </c>
      <c r="EG159" t="s">
        <v>31</v>
      </c>
      <c r="EH159">
        <v>0</v>
      </c>
      <c r="EI159" t="s">
        <v>3</v>
      </c>
      <c r="EJ159">
        <v>1</v>
      </c>
      <c r="EK159">
        <v>27001</v>
      </c>
      <c r="EL159" t="s">
        <v>32</v>
      </c>
      <c r="EM159" t="s">
        <v>33</v>
      </c>
      <c r="EO159" t="s">
        <v>3</v>
      </c>
      <c r="EQ159">
        <v>131072</v>
      </c>
      <c r="ER159">
        <v>3511.43</v>
      </c>
      <c r="ES159">
        <v>15.82</v>
      </c>
      <c r="ET159">
        <v>3336.44</v>
      </c>
      <c r="EU159">
        <v>273.57</v>
      </c>
      <c r="EV159">
        <v>159.16999999999999</v>
      </c>
      <c r="EW159">
        <v>24.19</v>
      </c>
      <c r="EX159">
        <v>20.6</v>
      </c>
      <c r="EY159">
        <v>0</v>
      </c>
      <c r="FQ159">
        <v>0</v>
      </c>
      <c r="FR159">
        <f t="shared" si="144"/>
        <v>0</v>
      </c>
      <c r="FS159">
        <v>0</v>
      </c>
      <c r="FU159" t="s">
        <v>34</v>
      </c>
      <c r="FX159">
        <v>142</v>
      </c>
      <c r="FY159">
        <v>80.75</v>
      </c>
      <c r="GA159" t="s">
        <v>3</v>
      </c>
      <c r="GD159">
        <v>1</v>
      </c>
      <c r="GF159">
        <v>-2049045877</v>
      </c>
      <c r="GG159">
        <v>2</v>
      </c>
      <c r="GH159">
        <v>0</v>
      </c>
      <c r="GI159">
        <v>0</v>
      </c>
      <c r="GJ159">
        <v>0</v>
      </c>
      <c r="GK159">
        <v>0</v>
      </c>
      <c r="GL159">
        <f t="shared" si="145"/>
        <v>0</v>
      </c>
      <c r="GM159">
        <f t="shared" si="146"/>
        <v>330.18</v>
      </c>
      <c r="GN159">
        <f t="shared" si="147"/>
        <v>330.18</v>
      </c>
      <c r="GO159">
        <f t="shared" si="148"/>
        <v>0</v>
      </c>
      <c r="GP159">
        <f t="shared" si="149"/>
        <v>0</v>
      </c>
      <c r="GR159">
        <v>0</v>
      </c>
      <c r="GS159">
        <v>0</v>
      </c>
      <c r="GT159">
        <v>0</v>
      </c>
      <c r="GU159" t="s">
        <v>3</v>
      </c>
      <c r="GV159">
        <f t="shared" si="150"/>
        <v>0</v>
      </c>
      <c r="GW159">
        <v>1</v>
      </c>
      <c r="GX159">
        <f t="shared" si="151"/>
        <v>0</v>
      </c>
      <c r="HA159">
        <v>0</v>
      </c>
      <c r="HB159">
        <v>0</v>
      </c>
      <c r="HC159">
        <f t="shared" si="152"/>
        <v>0</v>
      </c>
      <c r="IK159">
        <v>0</v>
      </c>
    </row>
    <row r="160" spans="1:245" x14ac:dyDescent="0.2">
      <c r="A160">
        <v>18</v>
      </c>
      <c r="B160">
        <v>1</v>
      </c>
      <c r="C160">
        <v>97</v>
      </c>
      <c r="E160" t="s">
        <v>189</v>
      </c>
      <c r="F160" t="s">
        <v>141</v>
      </c>
      <c r="G160" t="s">
        <v>142</v>
      </c>
      <c r="H160" t="s">
        <v>130</v>
      </c>
      <c r="I160">
        <f>I159*J160</f>
        <v>7.5095999999999998</v>
      </c>
      <c r="J160">
        <v>126</v>
      </c>
      <c r="O160">
        <f t="shared" si="122"/>
        <v>955.22</v>
      </c>
      <c r="P160">
        <f t="shared" si="123"/>
        <v>955.22</v>
      </c>
      <c r="Q160">
        <f t="shared" si="124"/>
        <v>0</v>
      </c>
      <c r="R160">
        <f t="shared" si="125"/>
        <v>0</v>
      </c>
      <c r="S160">
        <f t="shared" si="126"/>
        <v>0</v>
      </c>
      <c r="T160">
        <f t="shared" si="127"/>
        <v>0</v>
      </c>
      <c r="U160">
        <f t="shared" si="128"/>
        <v>0</v>
      </c>
      <c r="V160">
        <f t="shared" si="129"/>
        <v>0</v>
      </c>
      <c r="W160">
        <f t="shared" si="130"/>
        <v>0</v>
      </c>
      <c r="X160">
        <f t="shared" si="131"/>
        <v>0</v>
      </c>
      <c r="Y160">
        <f t="shared" si="131"/>
        <v>0</v>
      </c>
      <c r="AA160">
        <v>39201625</v>
      </c>
      <c r="AB160">
        <f t="shared" si="132"/>
        <v>127.2</v>
      </c>
      <c r="AC160">
        <f t="shared" si="133"/>
        <v>127.2</v>
      </c>
      <c r="AD160">
        <f>ROUND((((ET160)-(EU160))+AE160),2)</f>
        <v>0</v>
      </c>
      <c r="AE160">
        <f>ROUND((EU160),2)</f>
        <v>0</v>
      </c>
      <c r="AF160">
        <f>ROUND((EV160),2)</f>
        <v>0</v>
      </c>
      <c r="AG160">
        <f t="shared" si="134"/>
        <v>0</v>
      </c>
      <c r="AH160">
        <f>(EW160)</f>
        <v>0</v>
      </c>
      <c r="AI160">
        <f>(EX160)</f>
        <v>0</v>
      </c>
      <c r="AJ160">
        <f t="shared" si="135"/>
        <v>0</v>
      </c>
      <c r="AK160">
        <v>127.2</v>
      </c>
      <c r="AL160">
        <v>127.2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142</v>
      </c>
      <c r="AU160">
        <v>81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3</v>
      </c>
      <c r="BI160">
        <v>1</v>
      </c>
      <c r="BJ160" t="s">
        <v>143</v>
      </c>
      <c r="BM160">
        <v>27001</v>
      </c>
      <c r="BN160">
        <v>0</v>
      </c>
      <c r="BO160" t="s">
        <v>3</v>
      </c>
      <c r="BP160">
        <v>0</v>
      </c>
      <c r="BQ160">
        <v>2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142</v>
      </c>
      <c r="CA160">
        <v>95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36"/>
        <v>955.22</v>
      </c>
      <c r="CQ160">
        <f t="shared" si="137"/>
        <v>127.2</v>
      </c>
      <c r="CR160">
        <f t="shared" si="138"/>
        <v>0</v>
      </c>
      <c r="CS160">
        <f t="shared" si="139"/>
        <v>0</v>
      </c>
      <c r="CT160">
        <f t="shared" si="140"/>
        <v>0</v>
      </c>
      <c r="CU160">
        <f t="shared" si="141"/>
        <v>0</v>
      </c>
      <c r="CV160">
        <f t="shared" si="141"/>
        <v>0</v>
      </c>
      <c r="CW160">
        <f t="shared" si="141"/>
        <v>0</v>
      </c>
      <c r="CX160">
        <f t="shared" si="141"/>
        <v>0</v>
      </c>
      <c r="CY160">
        <f t="shared" si="142"/>
        <v>0</v>
      </c>
      <c r="CZ160">
        <f t="shared" si="143"/>
        <v>0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1007</v>
      </c>
      <c r="DV160" t="s">
        <v>130</v>
      </c>
      <c r="DW160" t="s">
        <v>130</v>
      </c>
      <c r="DX160">
        <v>1</v>
      </c>
      <c r="EE160">
        <v>39190938</v>
      </c>
      <c r="EF160">
        <v>2</v>
      </c>
      <c r="EG160" t="s">
        <v>31</v>
      </c>
      <c r="EH160">
        <v>0</v>
      </c>
      <c r="EI160" t="s">
        <v>3</v>
      </c>
      <c r="EJ160">
        <v>1</v>
      </c>
      <c r="EK160">
        <v>27001</v>
      </c>
      <c r="EL160" t="s">
        <v>32</v>
      </c>
      <c r="EM160" t="s">
        <v>33</v>
      </c>
      <c r="EO160" t="s">
        <v>3</v>
      </c>
      <c r="EQ160">
        <v>0</v>
      </c>
      <c r="ER160">
        <v>127.2</v>
      </c>
      <c r="ES160">
        <v>127.2</v>
      </c>
      <c r="ET160">
        <v>0</v>
      </c>
      <c r="EU160">
        <v>0</v>
      </c>
      <c r="EV160">
        <v>0</v>
      </c>
      <c r="EW160">
        <v>0</v>
      </c>
      <c r="EX160">
        <v>0</v>
      </c>
      <c r="FQ160">
        <v>0</v>
      </c>
      <c r="FR160">
        <f t="shared" si="144"/>
        <v>0</v>
      </c>
      <c r="FS160">
        <v>0</v>
      </c>
      <c r="FU160" t="s">
        <v>34</v>
      </c>
      <c r="FX160">
        <v>142</v>
      </c>
      <c r="FY160">
        <v>80.75</v>
      </c>
      <c r="GA160" t="s">
        <v>3</v>
      </c>
      <c r="GD160">
        <v>1</v>
      </c>
      <c r="GF160">
        <v>1276216311</v>
      </c>
      <c r="GG160">
        <v>2</v>
      </c>
      <c r="GH160">
        <v>0</v>
      </c>
      <c r="GI160">
        <v>0</v>
      </c>
      <c r="GJ160">
        <v>0</v>
      </c>
      <c r="GK160">
        <v>0</v>
      </c>
      <c r="GL160">
        <f t="shared" si="145"/>
        <v>0</v>
      </c>
      <c r="GM160">
        <f t="shared" si="146"/>
        <v>955.22</v>
      </c>
      <c r="GN160">
        <f t="shared" si="147"/>
        <v>955.22</v>
      </c>
      <c r="GO160">
        <f t="shared" si="148"/>
        <v>0</v>
      </c>
      <c r="GP160">
        <f t="shared" si="149"/>
        <v>0</v>
      </c>
      <c r="GR160">
        <v>0</v>
      </c>
      <c r="GS160">
        <v>0</v>
      </c>
      <c r="GT160">
        <v>0</v>
      </c>
      <c r="GU160" t="s">
        <v>3</v>
      </c>
      <c r="GV160">
        <f t="shared" si="150"/>
        <v>0</v>
      </c>
      <c r="GW160">
        <v>1</v>
      </c>
      <c r="GX160">
        <f t="shared" si="151"/>
        <v>0</v>
      </c>
      <c r="HA160">
        <v>0</v>
      </c>
      <c r="HB160">
        <v>0</v>
      </c>
      <c r="HC160">
        <f t="shared" si="152"/>
        <v>0</v>
      </c>
      <c r="IK160">
        <v>0</v>
      </c>
    </row>
    <row r="161" spans="1:245" x14ac:dyDescent="0.2">
      <c r="A161">
        <v>17</v>
      </c>
      <c r="B161">
        <v>1</v>
      </c>
      <c r="C161">
        <f>ROW(SmtRes!A107)</f>
        <v>107</v>
      </c>
      <c r="D161">
        <f>ROW(EtalonRes!A106)</f>
        <v>106</v>
      </c>
      <c r="E161" t="s">
        <v>190</v>
      </c>
      <c r="F161" t="s">
        <v>191</v>
      </c>
      <c r="G161" t="s">
        <v>192</v>
      </c>
      <c r="H161" t="s">
        <v>193</v>
      </c>
      <c r="I161">
        <f>ROUND(331.2/100,4)</f>
        <v>3.3119999999999998</v>
      </c>
      <c r="J161">
        <v>0</v>
      </c>
      <c r="O161">
        <f t="shared" si="122"/>
        <v>13664.13</v>
      </c>
      <c r="P161">
        <f t="shared" si="123"/>
        <v>11341.55</v>
      </c>
      <c r="Q161">
        <f t="shared" si="124"/>
        <v>328.95</v>
      </c>
      <c r="R161">
        <f t="shared" si="125"/>
        <v>37.36</v>
      </c>
      <c r="S161">
        <f t="shared" si="126"/>
        <v>1993.63</v>
      </c>
      <c r="T161">
        <f t="shared" si="127"/>
        <v>0</v>
      </c>
      <c r="U161">
        <f t="shared" si="128"/>
        <v>289.77350399999995</v>
      </c>
      <c r="V161">
        <f t="shared" si="129"/>
        <v>2.8152000000000004</v>
      </c>
      <c r="W161">
        <f t="shared" si="130"/>
        <v>0</v>
      </c>
      <c r="X161">
        <f t="shared" si="131"/>
        <v>2884.01</v>
      </c>
      <c r="Y161">
        <f t="shared" si="131"/>
        <v>1645.1</v>
      </c>
      <c r="AA161">
        <v>39201625</v>
      </c>
      <c r="AB161">
        <f t="shared" si="132"/>
        <v>4125.6400000000003</v>
      </c>
      <c r="AC161">
        <f t="shared" si="133"/>
        <v>3424.38</v>
      </c>
      <c r="AD161">
        <f>ROUND(((((ET161*1.25))-((EU161*1.25)))+AE161),2)</f>
        <v>99.32</v>
      </c>
      <c r="AE161">
        <f>ROUND(((EU161*1.25)),2)</f>
        <v>11.28</v>
      </c>
      <c r="AF161">
        <f>ROUND(((EV161*1.15)),2)</f>
        <v>601.94000000000005</v>
      </c>
      <c r="AG161">
        <f t="shared" si="134"/>
        <v>0</v>
      </c>
      <c r="AH161">
        <f>((EW161*1.15))</f>
        <v>87.49199999999999</v>
      </c>
      <c r="AI161">
        <f>((EX161*1.25))</f>
        <v>0.85000000000000009</v>
      </c>
      <c r="AJ161">
        <f t="shared" si="135"/>
        <v>0</v>
      </c>
      <c r="AK161">
        <v>4027.26</v>
      </c>
      <c r="AL161">
        <v>3424.38</v>
      </c>
      <c r="AM161">
        <v>79.45</v>
      </c>
      <c r="AN161">
        <v>9.02</v>
      </c>
      <c r="AO161">
        <v>523.42999999999995</v>
      </c>
      <c r="AP161">
        <v>0</v>
      </c>
      <c r="AQ161">
        <v>76.08</v>
      </c>
      <c r="AR161">
        <v>0.68</v>
      </c>
      <c r="AS161">
        <v>0</v>
      </c>
      <c r="AT161">
        <v>142</v>
      </c>
      <c r="AU161">
        <v>81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1</v>
      </c>
      <c r="BJ161" t="s">
        <v>194</v>
      </c>
      <c r="BM161">
        <v>27001</v>
      </c>
      <c r="BN161">
        <v>0</v>
      </c>
      <c r="BO161" t="s">
        <v>3</v>
      </c>
      <c r="BP161">
        <v>0</v>
      </c>
      <c r="BQ161">
        <v>2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142</v>
      </c>
      <c r="CA161">
        <v>95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136"/>
        <v>13664.130000000001</v>
      </c>
      <c r="CQ161">
        <f t="shared" si="137"/>
        <v>3424.38</v>
      </c>
      <c r="CR161">
        <f t="shared" si="138"/>
        <v>99.32</v>
      </c>
      <c r="CS161">
        <f t="shared" si="139"/>
        <v>11.28</v>
      </c>
      <c r="CT161">
        <f t="shared" si="140"/>
        <v>601.94000000000005</v>
      </c>
      <c r="CU161">
        <f t="shared" si="141"/>
        <v>0</v>
      </c>
      <c r="CV161">
        <f t="shared" si="141"/>
        <v>87.49199999999999</v>
      </c>
      <c r="CW161">
        <f t="shared" si="141"/>
        <v>0.85000000000000009</v>
      </c>
      <c r="CX161">
        <f t="shared" si="141"/>
        <v>0</v>
      </c>
      <c r="CY161">
        <f t="shared" si="142"/>
        <v>2884.0058000000004</v>
      </c>
      <c r="CZ161">
        <f t="shared" si="143"/>
        <v>1645.1019000000001</v>
      </c>
      <c r="DC161" t="s">
        <v>3</v>
      </c>
      <c r="DD161" t="s">
        <v>3</v>
      </c>
      <c r="DE161" t="s">
        <v>12</v>
      </c>
      <c r="DF161" t="s">
        <v>12</v>
      </c>
      <c r="DG161" t="s">
        <v>13</v>
      </c>
      <c r="DH161" t="s">
        <v>3</v>
      </c>
      <c r="DI161" t="s">
        <v>13</v>
      </c>
      <c r="DJ161" t="s">
        <v>12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1013</v>
      </c>
      <c r="DV161" t="s">
        <v>193</v>
      </c>
      <c r="DW161" t="s">
        <v>193</v>
      </c>
      <c r="DX161">
        <v>1</v>
      </c>
      <c r="EE161">
        <v>39190938</v>
      </c>
      <c r="EF161">
        <v>2</v>
      </c>
      <c r="EG161" t="s">
        <v>31</v>
      </c>
      <c r="EH161">
        <v>0</v>
      </c>
      <c r="EI161" t="s">
        <v>3</v>
      </c>
      <c r="EJ161">
        <v>1</v>
      </c>
      <c r="EK161">
        <v>27001</v>
      </c>
      <c r="EL161" t="s">
        <v>32</v>
      </c>
      <c r="EM161" t="s">
        <v>33</v>
      </c>
      <c r="EO161" t="s">
        <v>3</v>
      </c>
      <c r="EQ161">
        <v>131072</v>
      </c>
      <c r="ER161">
        <v>4027.26</v>
      </c>
      <c r="ES161">
        <v>3424.38</v>
      </c>
      <c r="ET161">
        <v>79.45</v>
      </c>
      <c r="EU161">
        <v>9.02</v>
      </c>
      <c r="EV161">
        <v>523.42999999999995</v>
      </c>
      <c r="EW161">
        <v>76.08</v>
      </c>
      <c r="EX161">
        <v>0.68</v>
      </c>
      <c r="EY161">
        <v>0</v>
      </c>
      <c r="FQ161">
        <v>0</v>
      </c>
      <c r="FR161">
        <f t="shared" si="144"/>
        <v>0</v>
      </c>
      <c r="FS161">
        <v>0</v>
      </c>
      <c r="FU161" t="s">
        <v>34</v>
      </c>
      <c r="FX161">
        <v>142</v>
      </c>
      <c r="FY161">
        <v>80.75</v>
      </c>
      <c r="GA161" t="s">
        <v>3</v>
      </c>
      <c r="GD161">
        <v>1</v>
      </c>
      <c r="GF161">
        <v>625015884</v>
      </c>
      <c r="GG161">
        <v>2</v>
      </c>
      <c r="GH161">
        <v>0</v>
      </c>
      <c r="GI161">
        <v>0</v>
      </c>
      <c r="GJ161">
        <v>0</v>
      </c>
      <c r="GK161">
        <v>0</v>
      </c>
      <c r="GL161">
        <f t="shared" si="145"/>
        <v>0</v>
      </c>
      <c r="GM161">
        <f t="shared" si="146"/>
        <v>18193.240000000002</v>
      </c>
      <c r="GN161">
        <f t="shared" si="147"/>
        <v>18193.240000000002</v>
      </c>
      <c r="GO161">
        <f t="shared" si="148"/>
        <v>0</v>
      </c>
      <c r="GP161">
        <f t="shared" si="149"/>
        <v>0</v>
      </c>
      <c r="GR161">
        <v>0</v>
      </c>
      <c r="GS161">
        <v>0</v>
      </c>
      <c r="GT161">
        <v>0</v>
      </c>
      <c r="GU161" t="s">
        <v>3</v>
      </c>
      <c r="GV161">
        <f t="shared" si="150"/>
        <v>0</v>
      </c>
      <c r="GW161">
        <v>1</v>
      </c>
      <c r="GX161">
        <f t="shared" si="151"/>
        <v>0</v>
      </c>
      <c r="HA161">
        <v>0</v>
      </c>
      <c r="HB161">
        <v>0</v>
      </c>
      <c r="HC161">
        <f t="shared" si="152"/>
        <v>0</v>
      </c>
      <c r="IK161">
        <v>0</v>
      </c>
    </row>
    <row r="162" spans="1:245" x14ac:dyDescent="0.2">
      <c r="A162">
        <v>18</v>
      </c>
      <c r="B162">
        <v>1</v>
      </c>
      <c r="C162">
        <v>107</v>
      </c>
      <c r="E162" t="s">
        <v>195</v>
      </c>
      <c r="F162" t="s">
        <v>196</v>
      </c>
      <c r="G162" t="s">
        <v>197</v>
      </c>
      <c r="H162" t="s">
        <v>198</v>
      </c>
      <c r="I162">
        <f>I161*J162</f>
        <v>331.2</v>
      </c>
      <c r="J162">
        <v>100</v>
      </c>
      <c r="O162">
        <f t="shared" si="122"/>
        <v>19358.64</v>
      </c>
      <c r="P162">
        <f t="shared" si="123"/>
        <v>19358.64</v>
      </c>
      <c r="Q162">
        <f t="shared" si="124"/>
        <v>0</v>
      </c>
      <c r="R162">
        <f t="shared" si="125"/>
        <v>0</v>
      </c>
      <c r="S162">
        <f t="shared" si="126"/>
        <v>0</v>
      </c>
      <c r="T162">
        <f t="shared" si="127"/>
        <v>0</v>
      </c>
      <c r="U162">
        <f t="shared" si="128"/>
        <v>0</v>
      </c>
      <c r="V162">
        <f t="shared" si="129"/>
        <v>0</v>
      </c>
      <c r="W162">
        <f t="shared" si="130"/>
        <v>0</v>
      </c>
      <c r="X162">
        <f t="shared" si="131"/>
        <v>0</v>
      </c>
      <c r="Y162">
        <f t="shared" si="131"/>
        <v>0</v>
      </c>
      <c r="AA162">
        <v>39201625</v>
      </c>
      <c r="AB162">
        <f t="shared" si="132"/>
        <v>58.45</v>
      </c>
      <c r="AC162">
        <f t="shared" si="133"/>
        <v>58.45</v>
      </c>
      <c r="AD162">
        <f>ROUND((((ET162)-(EU162))+AE162),2)</f>
        <v>0</v>
      </c>
      <c r="AE162">
        <f>ROUND((EU162),2)</f>
        <v>0</v>
      </c>
      <c r="AF162">
        <f>ROUND((EV162),2)</f>
        <v>0</v>
      </c>
      <c r="AG162">
        <f t="shared" si="134"/>
        <v>0</v>
      </c>
      <c r="AH162">
        <f>(EW162)</f>
        <v>0</v>
      </c>
      <c r="AI162">
        <f>(EX162)</f>
        <v>0</v>
      </c>
      <c r="AJ162">
        <f t="shared" si="135"/>
        <v>0</v>
      </c>
      <c r="AK162">
        <v>58.45</v>
      </c>
      <c r="AL162">
        <v>58.45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142</v>
      </c>
      <c r="AU162">
        <v>81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3</v>
      </c>
      <c r="BI162">
        <v>1</v>
      </c>
      <c r="BJ162" t="s">
        <v>199</v>
      </c>
      <c r="BM162">
        <v>27001</v>
      </c>
      <c r="BN162">
        <v>0</v>
      </c>
      <c r="BO162" t="s">
        <v>3</v>
      </c>
      <c r="BP162">
        <v>0</v>
      </c>
      <c r="BQ162">
        <v>2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142</v>
      </c>
      <c r="CA162">
        <v>95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136"/>
        <v>19358.64</v>
      </c>
      <c r="CQ162">
        <f t="shared" si="137"/>
        <v>58.45</v>
      </c>
      <c r="CR162">
        <f t="shared" si="138"/>
        <v>0</v>
      </c>
      <c r="CS162">
        <f t="shared" si="139"/>
        <v>0</v>
      </c>
      <c r="CT162">
        <f t="shared" si="140"/>
        <v>0</v>
      </c>
      <c r="CU162">
        <f t="shared" si="141"/>
        <v>0</v>
      </c>
      <c r="CV162">
        <f t="shared" si="141"/>
        <v>0</v>
      </c>
      <c r="CW162">
        <f t="shared" si="141"/>
        <v>0</v>
      </c>
      <c r="CX162">
        <f t="shared" si="141"/>
        <v>0</v>
      </c>
      <c r="CY162">
        <f t="shared" si="142"/>
        <v>0</v>
      </c>
      <c r="CZ162">
        <f t="shared" si="143"/>
        <v>0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1010</v>
      </c>
      <c r="DV162" t="s">
        <v>198</v>
      </c>
      <c r="DW162" t="s">
        <v>198</v>
      </c>
      <c r="DX162">
        <v>1</v>
      </c>
      <c r="EE162">
        <v>39190938</v>
      </c>
      <c r="EF162">
        <v>2</v>
      </c>
      <c r="EG162" t="s">
        <v>31</v>
      </c>
      <c r="EH162">
        <v>0</v>
      </c>
      <c r="EI162" t="s">
        <v>3</v>
      </c>
      <c r="EJ162">
        <v>1</v>
      </c>
      <c r="EK162">
        <v>27001</v>
      </c>
      <c r="EL162" t="s">
        <v>32</v>
      </c>
      <c r="EM162" t="s">
        <v>33</v>
      </c>
      <c r="EO162" t="s">
        <v>3</v>
      </c>
      <c r="EQ162">
        <v>0</v>
      </c>
      <c r="ER162">
        <v>58.45</v>
      </c>
      <c r="ES162">
        <v>58.45</v>
      </c>
      <c r="ET162">
        <v>0</v>
      </c>
      <c r="EU162">
        <v>0</v>
      </c>
      <c r="EV162">
        <v>0</v>
      </c>
      <c r="EW162">
        <v>0</v>
      </c>
      <c r="EX162">
        <v>0</v>
      </c>
      <c r="FQ162">
        <v>0</v>
      </c>
      <c r="FR162">
        <f t="shared" si="144"/>
        <v>0</v>
      </c>
      <c r="FS162">
        <v>0</v>
      </c>
      <c r="FU162" t="s">
        <v>34</v>
      </c>
      <c r="FX162">
        <v>142</v>
      </c>
      <c r="FY162">
        <v>80.75</v>
      </c>
      <c r="GA162" t="s">
        <v>3</v>
      </c>
      <c r="GD162">
        <v>1</v>
      </c>
      <c r="GF162">
        <v>2131618908</v>
      </c>
      <c r="GG162">
        <v>2</v>
      </c>
      <c r="GH162">
        <v>0</v>
      </c>
      <c r="GI162">
        <v>0</v>
      </c>
      <c r="GJ162">
        <v>0</v>
      </c>
      <c r="GK162">
        <v>0</v>
      </c>
      <c r="GL162">
        <f t="shared" si="145"/>
        <v>0</v>
      </c>
      <c r="GM162">
        <f t="shared" si="146"/>
        <v>19358.64</v>
      </c>
      <c r="GN162">
        <f t="shared" si="147"/>
        <v>19358.64</v>
      </c>
      <c r="GO162">
        <f t="shared" si="148"/>
        <v>0</v>
      </c>
      <c r="GP162">
        <f t="shared" si="149"/>
        <v>0</v>
      </c>
      <c r="GR162">
        <v>0</v>
      </c>
      <c r="GS162">
        <v>0</v>
      </c>
      <c r="GT162">
        <v>0</v>
      </c>
      <c r="GU162" t="s">
        <v>3</v>
      </c>
      <c r="GV162">
        <f t="shared" si="150"/>
        <v>0</v>
      </c>
      <c r="GW162">
        <v>1</v>
      </c>
      <c r="GX162">
        <f t="shared" si="151"/>
        <v>0</v>
      </c>
      <c r="HA162">
        <v>0</v>
      </c>
      <c r="HB162">
        <v>0</v>
      </c>
      <c r="HC162">
        <f t="shared" si="152"/>
        <v>0</v>
      </c>
      <c r="IK162">
        <v>0</v>
      </c>
    </row>
    <row r="163" spans="1:245" x14ac:dyDescent="0.2">
      <c r="A163">
        <v>17</v>
      </c>
      <c r="B163">
        <v>1</v>
      </c>
      <c r="C163">
        <f>ROW(SmtRes!A108)</f>
        <v>108</v>
      </c>
      <c r="D163">
        <f>ROW(EtalonRes!A107)</f>
        <v>107</v>
      </c>
      <c r="E163" t="s">
        <v>200</v>
      </c>
      <c r="F163" t="s">
        <v>201</v>
      </c>
      <c r="G163" t="s">
        <v>202</v>
      </c>
      <c r="H163" t="s">
        <v>185</v>
      </c>
      <c r="I163">
        <f>ROUND((I161*100*0.1*0.18)/100,4)</f>
        <v>5.96E-2</v>
      </c>
      <c r="J163">
        <v>0</v>
      </c>
      <c r="O163">
        <f t="shared" si="122"/>
        <v>37</v>
      </c>
      <c r="P163">
        <f t="shared" si="123"/>
        <v>0</v>
      </c>
      <c r="Q163">
        <f t="shared" si="124"/>
        <v>0</v>
      </c>
      <c r="R163">
        <f t="shared" si="125"/>
        <v>0</v>
      </c>
      <c r="S163">
        <f t="shared" si="126"/>
        <v>37</v>
      </c>
      <c r="T163">
        <f t="shared" si="127"/>
        <v>0</v>
      </c>
      <c r="U163">
        <f t="shared" si="128"/>
        <v>6.0657899999999998</v>
      </c>
      <c r="V163">
        <f t="shared" si="129"/>
        <v>0</v>
      </c>
      <c r="W163">
        <f t="shared" si="130"/>
        <v>0</v>
      </c>
      <c r="X163">
        <f t="shared" si="131"/>
        <v>29.6</v>
      </c>
      <c r="Y163">
        <f t="shared" si="131"/>
        <v>14.06</v>
      </c>
      <c r="AA163">
        <v>39201625</v>
      </c>
      <c r="AB163">
        <f t="shared" si="132"/>
        <v>620.83000000000004</v>
      </c>
      <c r="AC163">
        <f t="shared" si="133"/>
        <v>0</v>
      </c>
      <c r="AD163">
        <f>ROUND(((((ET163*1.25))-((EU163*1.25)))+AE163),2)</f>
        <v>0</v>
      </c>
      <c r="AE163">
        <f>ROUND(((EU163*1.25)),2)</f>
        <v>0</v>
      </c>
      <c r="AF163">
        <f>ROUND(((EV163*1.15)),2)</f>
        <v>620.83000000000004</v>
      </c>
      <c r="AG163">
        <f t="shared" si="134"/>
        <v>0</v>
      </c>
      <c r="AH163">
        <f>((EW163*1.15))</f>
        <v>101.77499999999999</v>
      </c>
      <c r="AI163">
        <f>((EX163*1.25))</f>
        <v>0</v>
      </c>
      <c r="AJ163">
        <f t="shared" si="135"/>
        <v>0</v>
      </c>
      <c r="AK163">
        <v>539.85</v>
      </c>
      <c r="AL163">
        <v>0</v>
      </c>
      <c r="AM163">
        <v>0</v>
      </c>
      <c r="AN163">
        <v>0</v>
      </c>
      <c r="AO163">
        <v>539.85</v>
      </c>
      <c r="AP163">
        <v>0</v>
      </c>
      <c r="AQ163">
        <v>88.5</v>
      </c>
      <c r="AR163">
        <v>0</v>
      </c>
      <c r="AS163">
        <v>0</v>
      </c>
      <c r="AT163">
        <v>80</v>
      </c>
      <c r="AU163">
        <v>38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1</v>
      </c>
      <c r="BJ163" t="s">
        <v>203</v>
      </c>
      <c r="BM163">
        <v>1003</v>
      </c>
      <c r="BN163">
        <v>0</v>
      </c>
      <c r="BO163" t="s">
        <v>3</v>
      </c>
      <c r="BP163">
        <v>0</v>
      </c>
      <c r="BQ163">
        <v>2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80</v>
      </c>
      <c r="CA163">
        <v>45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36"/>
        <v>37</v>
      </c>
      <c r="CQ163">
        <f t="shared" si="137"/>
        <v>0</v>
      </c>
      <c r="CR163">
        <f t="shared" si="138"/>
        <v>0</v>
      </c>
      <c r="CS163">
        <f t="shared" si="139"/>
        <v>0</v>
      </c>
      <c r="CT163">
        <f t="shared" si="140"/>
        <v>620.83000000000004</v>
      </c>
      <c r="CU163">
        <f t="shared" si="141"/>
        <v>0</v>
      </c>
      <c r="CV163">
        <f t="shared" si="141"/>
        <v>101.77499999999999</v>
      </c>
      <c r="CW163">
        <f t="shared" si="141"/>
        <v>0</v>
      </c>
      <c r="CX163">
        <f t="shared" si="141"/>
        <v>0</v>
      </c>
      <c r="CY163">
        <f t="shared" si="142"/>
        <v>29.6</v>
      </c>
      <c r="CZ163">
        <f t="shared" si="143"/>
        <v>14.06</v>
      </c>
      <c r="DC163" t="s">
        <v>3</v>
      </c>
      <c r="DD163" t="s">
        <v>3</v>
      </c>
      <c r="DE163" t="s">
        <v>12</v>
      </c>
      <c r="DF163" t="s">
        <v>12</v>
      </c>
      <c r="DG163" t="s">
        <v>13</v>
      </c>
      <c r="DH163" t="s">
        <v>3</v>
      </c>
      <c r="DI163" t="s">
        <v>13</v>
      </c>
      <c r="DJ163" t="s">
        <v>12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185</v>
      </c>
      <c r="DW163" t="s">
        <v>185</v>
      </c>
      <c r="DX163">
        <v>1</v>
      </c>
      <c r="EE163">
        <v>39190872</v>
      </c>
      <c r="EF163">
        <v>2</v>
      </c>
      <c r="EG163" t="s">
        <v>31</v>
      </c>
      <c r="EH163">
        <v>0</v>
      </c>
      <c r="EI163" t="s">
        <v>3</v>
      </c>
      <c r="EJ163">
        <v>1</v>
      </c>
      <c r="EK163">
        <v>1003</v>
      </c>
      <c r="EL163" t="s">
        <v>187</v>
      </c>
      <c r="EM163" t="s">
        <v>46</v>
      </c>
      <c r="EO163" t="s">
        <v>3</v>
      </c>
      <c r="EQ163">
        <v>131072</v>
      </c>
      <c r="ER163">
        <v>539.85</v>
      </c>
      <c r="ES163">
        <v>0</v>
      </c>
      <c r="ET163">
        <v>0</v>
      </c>
      <c r="EU163">
        <v>0</v>
      </c>
      <c r="EV163">
        <v>539.85</v>
      </c>
      <c r="EW163">
        <v>88.5</v>
      </c>
      <c r="EX163">
        <v>0</v>
      </c>
      <c r="EY163">
        <v>0</v>
      </c>
      <c r="FQ163">
        <v>0</v>
      </c>
      <c r="FR163">
        <f t="shared" si="144"/>
        <v>0</v>
      </c>
      <c r="FS163">
        <v>0</v>
      </c>
      <c r="FU163" t="s">
        <v>34</v>
      </c>
      <c r="FX163">
        <v>80</v>
      </c>
      <c r="FY163">
        <v>38.25</v>
      </c>
      <c r="GA163" t="s">
        <v>3</v>
      </c>
      <c r="GD163">
        <v>1</v>
      </c>
      <c r="GF163">
        <v>-574956848</v>
      </c>
      <c r="GG163">
        <v>2</v>
      </c>
      <c r="GH163">
        <v>0</v>
      </c>
      <c r="GI163">
        <v>0</v>
      </c>
      <c r="GJ163">
        <v>0</v>
      </c>
      <c r="GK163">
        <v>0</v>
      </c>
      <c r="GL163">
        <f t="shared" si="145"/>
        <v>0</v>
      </c>
      <c r="GM163">
        <f t="shared" si="146"/>
        <v>80.66</v>
      </c>
      <c r="GN163">
        <f t="shared" si="147"/>
        <v>80.66</v>
      </c>
      <c r="GO163">
        <f t="shared" si="148"/>
        <v>0</v>
      </c>
      <c r="GP163">
        <f t="shared" si="149"/>
        <v>0</v>
      </c>
      <c r="GR163">
        <v>0</v>
      </c>
      <c r="GS163">
        <v>0</v>
      </c>
      <c r="GT163">
        <v>0</v>
      </c>
      <c r="GU163" t="s">
        <v>3</v>
      </c>
      <c r="GV163">
        <f t="shared" si="150"/>
        <v>0</v>
      </c>
      <c r="GW163">
        <v>1</v>
      </c>
      <c r="GX163">
        <f t="shared" si="151"/>
        <v>0</v>
      </c>
      <c r="HA163">
        <v>0</v>
      </c>
      <c r="HB163">
        <v>0</v>
      </c>
      <c r="HC163">
        <f t="shared" si="152"/>
        <v>0</v>
      </c>
      <c r="IK163">
        <v>0</v>
      </c>
    </row>
    <row r="164" spans="1:245" x14ac:dyDescent="0.2">
      <c r="A164">
        <v>17</v>
      </c>
      <c r="B164">
        <v>1</v>
      </c>
      <c r="E164" t="s">
        <v>204</v>
      </c>
      <c r="F164" t="s">
        <v>205</v>
      </c>
      <c r="G164" t="s">
        <v>206</v>
      </c>
      <c r="H164" t="s">
        <v>50</v>
      </c>
      <c r="I164">
        <f>ROUND(I158*100*1.5-I163*100*1.5,4)</f>
        <v>35.774999999999999</v>
      </c>
      <c r="J164">
        <v>0</v>
      </c>
      <c r="O164">
        <f t="shared" si="122"/>
        <v>152.04</v>
      </c>
      <c r="P164">
        <f t="shared" si="123"/>
        <v>0</v>
      </c>
      <c r="Q164">
        <f t="shared" si="124"/>
        <v>152.04</v>
      </c>
      <c r="R164">
        <f t="shared" si="125"/>
        <v>0</v>
      </c>
      <c r="S164">
        <f t="shared" si="126"/>
        <v>0</v>
      </c>
      <c r="T164">
        <f t="shared" si="127"/>
        <v>0</v>
      </c>
      <c r="U164">
        <f t="shared" si="128"/>
        <v>0</v>
      </c>
      <c r="V164">
        <f t="shared" si="129"/>
        <v>0</v>
      </c>
      <c r="W164">
        <f t="shared" si="130"/>
        <v>0</v>
      </c>
      <c r="X164">
        <f t="shared" si="131"/>
        <v>0</v>
      </c>
      <c r="Y164">
        <f t="shared" si="131"/>
        <v>0</v>
      </c>
      <c r="AA164">
        <v>39201625</v>
      </c>
      <c r="AB164">
        <f t="shared" si="132"/>
        <v>4.25</v>
      </c>
      <c r="AC164">
        <f t="shared" si="133"/>
        <v>0</v>
      </c>
      <c r="AD164">
        <f>ROUND(((ET164)+ROUND(((EU164)*1.6),2)),2)</f>
        <v>4.25</v>
      </c>
      <c r="AE164">
        <f>ROUND(((EU164)+ROUND(((EU164)*1.6),2)),2)</f>
        <v>0</v>
      </c>
      <c r="AF164">
        <f>ROUND(((EV164)+ROUND(((EV164)*1.6),2)),2)</f>
        <v>0</v>
      </c>
      <c r="AG164">
        <f t="shared" si="134"/>
        <v>0</v>
      </c>
      <c r="AH164">
        <f>(EW164)</f>
        <v>0</v>
      </c>
      <c r="AI164">
        <f>(EX164)</f>
        <v>0</v>
      </c>
      <c r="AJ164">
        <f t="shared" si="135"/>
        <v>0</v>
      </c>
      <c r="AK164">
        <v>4.25</v>
      </c>
      <c r="AL164">
        <v>0</v>
      </c>
      <c r="AM164">
        <v>4.25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1</v>
      </c>
      <c r="BJ164" t="s">
        <v>207</v>
      </c>
      <c r="BM164">
        <v>700004</v>
      </c>
      <c r="BN164">
        <v>0</v>
      </c>
      <c r="BO164" t="s">
        <v>3</v>
      </c>
      <c r="BP164">
        <v>0</v>
      </c>
      <c r="BQ164">
        <v>19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0</v>
      </c>
      <c r="CA164">
        <v>0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36"/>
        <v>152.04</v>
      </c>
      <c r="CQ164">
        <f t="shared" si="137"/>
        <v>0</v>
      </c>
      <c r="CR164">
        <f t="shared" si="138"/>
        <v>4.25</v>
      </c>
      <c r="CS164">
        <f t="shared" si="139"/>
        <v>0</v>
      </c>
      <c r="CT164">
        <f t="shared" si="140"/>
        <v>0</v>
      </c>
      <c r="CU164">
        <f t="shared" si="141"/>
        <v>0</v>
      </c>
      <c r="CV164">
        <f t="shared" si="141"/>
        <v>0</v>
      </c>
      <c r="CW164">
        <f t="shared" si="141"/>
        <v>0</v>
      </c>
      <c r="CX164">
        <f t="shared" si="141"/>
        <v>0</v>
      </c>
      <c r="CY164">
        <f>(((S164+R164)*ROUND(FX164,0))/100)</f>
        <v>0</v>
      </c>
      <c r="CZ164">
        <f>(((S164+R164)*ROUND(FY164,0))/100)</f>
        <v>0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50</v>
      </c>
      <c r="DW164" t="s">
        <v>50</v>
      </c>
      <c r="DX164">
        <v>1</v>
      </c>
      <c r="EE164">
        <v>39191089</v>
      </c>
      <c r="EF164">
        <v>19</v>
      </c>
      <c r="EG164" t="s">
        <v>52</v>
      </c>
      <c r="EH164">
        <v>0</v>
      </c>
      <c r="EI164" t="s">
        <v>3</v>
      </c>
      <c r="EJ164">
        <v>1</v>
      </c>
      <c r="EK164">
        <v>700004</v>
      </c>
      <c r="EL164" t="s">
        <v>53</v>
      </c>
      <c r="EM164" t="s">
        <v>54</v>
      </c>
      <c r="EO164" t="s">
        <v>3</v>
      </c>
      <c r="EQ164">
        <v>131072</v>
      </c>
      <c r="ER164">
        <v>4.25</v>
      </c>
      <c r="ES164">
        <v>0</v>
      </c>
      <c r="ET164">
        <v>4.25</v>
      </c>
      <c r="EU164">
        <v>0</v>
      </c>
      <c r="EV164">
        <v>0</v>
      </c>
      <c r="EW164">
        <v>0</v>
      </c>
      <c r="EX164">
        <v>0</v>
      </c>
      <c r="EY164">
        <v>0</v>
      </c>
      <c r="FQ164">
        <v>0</v>
      </c>
      <c r="FR164">
        <f t="shared" si="144"/>
        <v>0</v>
      </c>
      <c r="FS164">
        <v>0</v>
      </c>
      <c r="FX164">
        <v>0</v>
      </c>
      <c r="FY164">
        <v>0</v>
      </c>
      <c r="GA164" t="s">
        <v>3</v>
      </c>
      <c r="GD164">
        <v>1</v>
      </c>
      <c r="GF164">
        <v>1644020898</v>
      </c>
      <c r="GG164">
        <v>2</v>
      </c>
      <c r="GH164">
        <v>0</v>
      </c>
      <c r="GI164">
        <v>0</v>
      </c>
      <c r="GJ164">
        <v>0</v>
      </c>
      <c r="GK164">
        <v>0</v>
      </c>
      <c r="GL164">
        <f t="shared" si="145"/>
        <v>0</v>
      </c>
      <c r="GM164">
        <f t="shared" si="146"/>
        <v>152.04</v>
      </c>
      <c r="GN164">
        <f t="shared" si="147"/>
        <v>152.04</v>
      </c>
      <c r="GO164">
        <f t="shared" si="148"/>
        <v>0</v>
      </c>
      <c r="GP164">
        <f t="shared" si="149"/>
        <v>0</v>
      </c>
      <c r="GR164">
        <v>0</v>
      </c>
      <c r="GS164">
        <v>0</v>
      </c>
      <c r="GT164">
        <v>0</v>
      </c>
      <c r="GU164" t="s">
        <v>3</v>
      </c>
      <c r="GV164">
        <f t="shared" si="150"/>
        <v>0</v>
      </c>
      <c r="GW164">
        <v>1</v>
      </c>
      <c r="GX164">
        <f t="shared" si="151"/>
        <v>0</v>
      </c>
      <c r="HA164">
        <v>0</v>
      </c>
      <c r="HB164">
        <v>0</v>
      </c>
      <c r="HC164">
        <f t="shared" si="152"/>
        <v>0</v>
      </c>
      <c r="HD164">
        <f>GM164</f>
        <v>152.04</v>
      </c>
      <c r="IK164">
        <v>0</v>
      </c>
    </row>
    <row r="165" spans="1:245" x14ac:dyDescent="0.2">
      <c r="A165">
        <v>17</v>
      </c>
      <c r="B165">
        <v>1</v>
      </c>
      <c r="E165" t="s">
        <v>208</v>
      </c>
      <c r="F165" t="s">
        <v>56</v>
      </c>
      <c r="G165" t="s">
        <v>57</v>
      </c>
      <c r="H165" t="s">
        <v>50</v>
      </c>
      <c r="I165">
        <f>ROUND(I164,4)</f>
        <v>35.774999999999999</v>
      </c>
      <c r="J165">
        <v>0</v>
      </c>
      <c r="O165">
        <f t="shared" si="122"/>
        <v>237.9</v>
      </c>
      <c r="P165">
        <f t="shared" si="123"/>
        <v>0</v>
      </c>
      <c r="Q165">
        <f t="shared" si="124"/>
        <v>237.9</v>
      </c>
      <c r="R165">
        <f t="shared" si="125"/>
        <v>0</v>
      </c>
      <c r="S165">
        <f t="shared" si="126"/>
        <v>0</v>
      </c>
      <c r="T165">
        <f t="shared" si="127"/>
        <v>0</v>
      </c>
      <c r="U165">
        <f t="shared" si="128"/>
        <v>0</v>
      </c>
      <c r="V165">
        <f t="shared" si="129"/>
        <v>0</v>
      </c>
      <c r="W165">
        <f t="shared" si="130"/>
        <v>0</v>
      </c>
      <c r="X165">
        <f t="shared" si="131"/>
        <v>0</v>
      </c>
      <c r="Y165">
        <f t="shared" si="131"/>
        <v>0</v>
      </c>
      <c r="AA165">
        <v>39201625</v>
      </c>
      <c r="AB165">
        <f t="shared" si="132"/>
        <v>6.65</v>
      </c>
      <c r="AC165">
        <f t="shared" si="133"/>
        <v>0</v>
      </c>
      <c r="AD165">
        <f>ROUND(((ET165)+ROUND(((EU165)*1.85),2)),2)</f>
        <v>6.65</v>
      </c>
      <c r="AE165">
        <f>ROUND(((EU165)+ROUND(((EU165)*1.85),2)),2)</f>
        <v>0</v>
      </c>
      <c r="AF165">
        <f>ROUND(((EV165)+ROUND(((EV165)*1.85),2)),2)</f>
        <v>0</v>
      </c>
      <c r="AG165">
        <f t="shared" si="134"/>
        <v>0</v>
      </c>
      <c r="AH165">
        <f>(EW165)</f>
        <v>0</v>
      </c>
      <c r="AI165">
        <f>(EX165)</f>
        <v>0</v>
      </c>
      <c r="AJ165">
        <f t="shared" si="135"/>
        <v>0</v>
      </c>
      <c r="AK165">
        <v>6.65</v>
      </c>
      <c r="AL165">
        <v>0</v>
      </c>
      <c r="AM165">
        <v>6.65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1</v>
      </c>
      <c r="BJ165" t="s">
        <v>58</v>
      </c>
      <c r="BM165">
        <v>700001</v>
      </c>
      <c r="BN165">
        <v>0</v>
      </c>
      <c r="BO165" t="s">
        <v>3</v>
      </c>
      <c r="BP165">
        <v>0</v>
      </c>
      <c r="BQ165">
        <v>10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0</v>
      </c>
      <c r="CA165">
        <v>0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36"/>
        <v>237.9</v>
      </c>
      <c r="CQ165">
        <f t="shared" si="137"/>
        <v>0</v>
      </c>
      <c r="CR165">
        <f t="shared" si="138"/>
        <v>6.65</v>
      </c>
      <c r="CS165">
        <f t="shared" si="139"/>
        <v>0</v>
      </c>
      <c r="CT165">
        <f t="shared" si="140"/>
        <v>0</v>
      </c>
      <c r="CU165">
        <f t="shared" si="141"/>
        <v>0</v>
      </c>
      <c r="CV165">
        <f t="shared" si="141"/>
        <v>0</v>
      </c>
      <c r="CW165">
        <f t="shared" si="141"/>
        <v>0</v>
      </c>
      <c r="CX165">
        <f t="shared" si="141"/>
        <v>0</v>
      </c>
      <c r="CY165">
        <f>(((S165+R165)*ROUND(FX165,0))/100)</f>
        <v>0</v>
      </c>
      <c r="CZ165">
        <f>(((S165+R165)*ROUND(FY165,0))/100)</f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50</v>
      </c>
      <c r="DW165" t="s">
        <v>50</v>
      </c>
      <c r="DX165">
        <v>1</v>
      </c>
      <c r="EE165">
        <v>39191086</v>
      </c>
      <c r="EF165">
        <v>10</v>
      </c>
      <c r="EG165" t="s">
        <v>59</v>
      </c>
      <c r="EH165">
        <v>0</v>
      </c>
      <c r="EI165" t="s">
        <v>3</v>
      </c>
      <c r="EJ165">
        <v>1</v>
      </c>
      <c r="EK165">
        <v>700001</v>
      </c>
      <c r="EL165" t="s">
        <v>60</v>
      </c>
      <c r="EM165" t="s">
        <v>61</v>
      </c>
      <c r="EO165" t="s">
        <v>3</v>
      </c>
      <c r="EQ165">
        <v>131072</v>
      </c>
      <c r="ER165">
        <v>6.65</v>
      </c>
      <c r="ES165">
        <v>0</v>
      </c>
      <c r="ET165">
        <v>6.65</v>
      </c>
      <c r="EU165">
        <v>0</v>
      </c>
      <c r="EV165">
        <v>0</v>
      </c>
      <c r="EW165">
        <v>0</v>
      </c>
      <c r="EX165">
        <v>0</v>
      </c>
      <c r="EY165">
        <v>0</v>
      </c>
      <c r="FQ165">
        <v>0</v>
      </c>
      <c r="FR165">
        <f t="shared" si="144"/>
        <v>0</v>
      </c>
      <c r="FS165">
        <v>0</v>
      </c>
      <c r="FX165">
        <v>0</v>
      </c>
      <c r="FY165">
        <v>0</v>
      </c>
      <c r="GA165" t="s">
        <v>3</v>
      </c>
      <c r="GD165">
        <v>1</v>
      </c>
      <c r="GF165">
        <v>-811322024</v>
      </c>
      <c r="GG165">
        <v>2</v>
      </c>
      <c r="GH165">
        <v>0</v>
      </c>
      <c r="GI165">
        <v>0</v>
      </c>
      <c r="GJ165">
        <v>0</v>
      </c>
      <c r="GK165">
        <v>0</v>
      </c>
      <c r="GL165">
        <f t="shared" si="145"/>
        <v>0</v>
      </c>
      <c r="GM165">
        <f t="shared" si="146"/>
        <v>237.9</v>
      </c>
      <c r="GN165">
        <f t="shared" si="147"/>
        <v>237.9</v>
      </c>
      <c r="GO165">
        <f t="shared" si="148"/>
        <v>0</v>
      </c>
      <c r="GP165">
        <f t="shared" si="149"/>
        <v>0</v>
      </c>
      <c r="GR165">
        <v>0</v>
      </c>
      <c r="GS165">
        <v>0</v>
      </c>
      <c r="GT165">
        <v>0</v>
      </c>
      <c r="GU165" t="s">
        <v>3</v>
      </c>
      <c r="GV165">
        <f t="shared" si="150"/>
        <v>0</v>
      </c>
      <c r="GW165">
        <v>1</v>
      </c>
      <c r="GX165">
        <f t="shared" si="151"/>
        <v>0</v>
      </c>
      <c r="HA165">
        <v>0</v>
      </c>
      <c r="HB165">
        <v>0</v>
      </c>
      <c r="HC165">
        <f t="shared" si="152"/>
        <v>0</v>
      </c>
      <c r="HD165">
        <f>GM165</f>
        <v>237.9</v>
      </c>
      <c r="IK165">
        <v>0</v>
      </c>
    </row>
    <row r="167" spans="1:245" x14ac:dyDescent="0.2">
      <c r="A167" s="2">
        <v>51</v>
      </c>
      <c r="B167" s="2">
        <f>B154</f>
        <v>1</v>
      </c>
      <c r="C167" s="2">
        <f>A154</f>
        <v>5</v>
      </c>
      <c r="D167" s="2">
        <f>ROW(A154)</f>
        <v>154</v>
      </c>
      <c r="E167" s="2"/>
      <c r="F167" s="2" t="str">
        <f>IF(F154&lt;&gt;"",F154,"")</f>
        <v>Новый подраздел</v>
      </c>
      <c r="G167" s="2" t="str">
        <f>IF(G154&lt;&gt;"",G154,"")</f>
        <v>Установка бортовых камней БК 100.30.15 -331,2м</v>
      </c>
      <c r="H167" s="2">
        <v>0</v>
      </c>
      <c r="I167" s="2"/>
      <c r="J167" s="2"/>
      <c r="K167" s="2"/>
      <c r="L167" s="2"/>
      <c r="M167" s="2"/>
      <c r="N167" s="2"/>
      <c r="O167" s="2">
        <f t="shared" ref="O167:T167" si="153">ROUND(AB167,2)</f>
        <v>35000.58</v>
      </c>
      <c r="P167" s="2">
        <f t="shared" si="153"/>
        <v>31656.35</v>
      </c>
      <c r="Q167" s="2">
        <f t="shared" si="153"/>
        <v>967.45</v>
      </c>
      <c r="R167" s="2">
        <f t="shared" si="153"/>
        <v>57.74</v>
      </c>
      <c r="S167" s="2">
        <f t="shared" si="153"/>
        <v>2376.7800000000002</v>
      </c>
      <c r="T167" s="2">
        <f t="shared" si="153"/>
        <v>0</v>
      </c>
      <c r="U167" s="2">
        <f>AH167</f>
        <v>350.29078659999993</v>
      </c>
      <c r="V167" s="2">
        <f>AI167</f>
        <v>4.3498999999999999</v>
      </c>
      <c r="W167" s="2">
        <f>ROUND(AJ167,2)</f>
        <v>0</v>
      </c>
      <c r="X167" s="2">
        <f>ROUND(AK167,2)</f>
        <v>3226.23</v>
      </c>
      <c r="Y167" s="2">
        <f>ROUND(AL167,2)</f>
        <v>1811.89</v>
      </c>
      <c r="Z167" s="2"/>
      <c r="AA167" s="2"/>
      <c r="AB167" s="2">
        <f>ROUND(SUMIF(AA158:AA165,"=39201625",O158:O165),2)</f>
        <v>35000.58</v>
      </c>
      <c r="AC167" s="2">
        <f>ROUND(SUMIF(AA158:AA165,"=39201625",P158:P165),2)</f>
        <v>31656.35</v>
      </c>
      <c r="AD167" s="2">
        <f>ROUND(SUMIF(AA158:AA165,"=39201625",Q158:Q165),2)</f>
        <v>967.45</v>
      </c>
      <c r="AE167" s="2">
        <f>ROUND(SUMIF(AA158:AA165,"=39201625",R158:R165),2)</f>
        <v>57.74</v>
      </c>
      <c r="AF167" s="2">
        <f>ROUND(SUMIF(AA158:AA165,"=39201625",S158:S165),2)</f>
        <v>2376.7800000000002</v>
      </c>
      <c r="AG167" s="2">
        <f>ROUND(SUMIF(AA158:AA165,"=39201625",T158:T165),2)</f>
        <v>0</v>
      </c>
      <c r="AH167" s="2">
        <f>SUMIF(AA158:AA165,"=39201625",U158:U165)</f>
        <v>350.29078659999993</v>
      </c>
      <c r="AI167" s="2">
        <f>SUMIF(AA158:AA165,"=39201625",V158:V165)</f>
        <v>4.3498999999999999</v>
      </c>
      <c r="AJ167" s="2">
        <f>ROUND(SUMIF(AA158:AA165,"=39201625",W158:W165),2)</f>
        <v>0</v>
      </c>
      <c r="AK167" s="2">
        <f>ROUND(SUMIF(AA158:AA165,"=39201625",X158:X165),2)</f>
        <v>3226.23</v>
      </c>
      <c r="AL167" s="2">
        <f>ROUND(SUMIF(AA158:AA165,"=39201625",Y158:Y165),2)</f>
        <v>1811.89</v>
      </c>
      <c r="AM167" s="2"/>
      <c r="AN167" s="2"/>
      <c r="AO167" s="2">
        <f t="shared" ref="AO167:BD167" si="154">ROUND(BX167,2)</f>
        <v>0</v>
      </c>
      <c r="AP167" s="2">
        <f t="shared" si="154"/>
        <v>0</v>
      </c>
      <c r="AQ167" s="2">
        <f t="shared" si="154"/>
        <v>0</v>
      </c>
      <c r="AR167" s="2">
        <f t="shared" si="154"/>
        <v>40038.699999999997</v>
      </c>
      <c r="AS167" s="2">
        <f t="shared" si="154"/>
        <v>40038.699999999997</v>
      </c>
      <c r="AT167" s="2">
        <f t="shared" si="154"/>
        <v>0</v>
      </c>
      <c r="AU167" s="2">
        <f t="shared" si="154"/>
        <v>0</v>
      </c>
      <c r="AV167" s="2">
        <f t="shared" si="154"/>
        <v>31656.35</v>
      </c>
      <c r="AW167" s="2">
        <f t="shared" si="154"/>
        <v>31656.35</v>
      </c>
      <c r="AX167" s="2">
        <f t="shared" si="154"/>
        <v>0</v>
      </c>
      <c r="AY167" s="2">
        <f t="shared" si="154"/>
        <v>31656.35</v>
      </c>
      <c r="AZ167" s="2">
        <f t="shared" si="154"/>
        <v>0</v>
      </c>
      <c r="BA167" s="2">
        <f t="shared" si="154"/>
        <v>0</v>
      </c>
      <c r="BB167" s="2">
        <f t="shared" si="154"/>
        <v>0</v>
      </c>
      <c r="BC167" s="2">
        <f t="shared" si="154"/>
        <v>0</v>
      </c>
      <c r="BD167" s="2">
        <f t="shared" si="154"/>
        <v>389.94</v>
      </c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>
        <f>ROUND(SUMIF(AA158:AA165,"=39201625",FQ158:FQ165),2)</f>
        <v>0</v>
      </c>
      <c r="BY167" s="2">
        <f>ROUND(SUMIF(AA158:AA165,"=39201625",FR158:FR165),2)</f>
        <v>0</v>
      </c>
      <c r="BZ167" s="2">
        <f>ROUND(SUMIF(AA158:AA165,"=39201625",GL158:GL165),2)</f>
        <v>0</v>
      </c>
      <c r="CA167" s="2">
        <f>ROUND(SUMIF(AA158:AA165,"=39201625",GM158:GM165),2)</f>
        <v>40038.699999999997</v>
      </c>
      <c r="CB167" s="2">
        <f>ROUND(SUMIF(AA158:AA165,"=39201625",GN158:GN165),2)</f>
        <v>40038.699999999997</v>
      </c>
      <c r="CC167" s="2">
        <f>ROUND(SUMIF(AA158:AA165,"=39201625",GO158:GO165),2)</f>
        <v>0</v>
      </c>
      <c r="CD167" s="2">
        <f>ROUND(SUMIF(AA158:AA165,"=39201625",GP158:GP165),2)</f>
        <v>0</v>
      </c>
      <c r="CE167" s="2">
        <f>AC167-BX167</f>
        <v>31656.35</v>
      </c>
      <c r="CF167" s="2">
        <f>AC167-BY167</f>
        <v>31656.35</v>
      </c>
      <c r="CG167" s="2">
        <f>BX167-BZ167</f>
        <v>0</v>
      </c>
      <c r="CH167" s="2">
        <f>AC167-BX167-BY167+BZ167</f>
        <v>31656.35</v>
      </c>
      <c r="CI167" s="2">
        <f>BY167-BZ167</f>
        <v>0</v>
      </c>
      <c r="CJ167" s="2">
        <f>ROUND(SUMIF(AA158:AA165,"=39201625",GX158:GX165),2)</f>
        <v>0</v>
      </c>
      <c r="CK167" s="2">
        <f>ROUND(SUMIF(AA158:AA165,"=39201625",GY158:GY165),2)</f>
        <v>0</v>
      </c>
      <c r="CL167" s="2">
        <f>ROUND(SUMIF(AA158:AA165,"=39201625",GZ158:GZ165),2)</f>
        <v>0</v>
      </c>
      <c r="CM167" s="2">
        <f>ROUND(SUMIF(AA158:AA165,"=39201625",HD158:HD165),2)</f>
        <v>389.94</v>
      </c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>
        <v>0</v>
      </c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201</v>
      </c>
      <c r="F169" s="4">
        <f>ROUND(Source!O167,O169)</f>
        <v>35000.58</v>
      </c>
      <c r="G169" s="4" t="s">
        <v>66</v>
      </c>
      <c r="H169" s="4" t="s">
        <v>67</v>
      </c>
      <c r="I169" s="4"/>
      <c r="J169" s="4"/>
      <c r="K169" s="4">
        <v>201</v>
      </c>
      <c r="L169" s="4">
        <v>1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45" x14ac:dyDescent="0.2">
      <c r="A170" s="4">
        <v>50</v>
      </c>
      <c r="B170" s="4">
        <v>0</v>
      </c>
      <c r="C170" s="4">
        <v>0</v>
      </c>
      <c r="D170" s="4">
        <v>1</v>
      </c>
      <c r="E170" s="4">
        <v>202</v>
      </c>
      <c r="F170" s="4">
        <f>ROUND(Source!P167,O170)</f>
        <v>31656.35</v>
      </c>
      <c r="G170" s="4" t="s">
        <v>68</v>
      </c>
      <c r="H170" s="4" t="s">
        <v>69</v>
      </c>
      <c r="I170" s="4"/>
      <c r="J170" s="4"/>
      <c r="K170" s="4">
        <v>202</v>
      </c>
      <c r="L170" s="4">
        <v>2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45" x14ac:dyDescent="0.2">
      <c r="A171" s="4">
        <v>50</v>
      </c>
      <c r="B171" s="4">
        <v>0</v>
      </c>
      <c r="C171" s="4">
        <v>0</v>
      </c>
      <c r="D171" s="4">
        <v>1</v>
      </c>
      <c r="E171" s="4">
        <v>222</v>
      </c>
      <c r="F171" s="4">
        <f>ROUND(Source!AO167,O171)</f>
        <v>0</v>
      </c>
      <c r="G171" s="4" t="s">
        <v>70</v>
      </c>
      <c r="H171" s="4" t="s">
        <v>71</v>
      </c>
      <c r="I171" s="4"/>
      <c r="J171" s="4"/>
      <c r="K171" s="4">
        <v>222</v>
      </c>
      <c r="L171" s="4">
        <v>3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225</v>
      </c>
      <c r="F172" s="4">
        <f>ROUND(Source!AV167,O172)</f>
        <v>31656.35</v>
      </c>
      <c r="G172" s="4" t="s">
        <v>72</v>
      </c>
      <c r="H172" s="4" t="s">
        <v>73</v>
      </c>
      <c r="I172" s="4"/>
      <c r="J172" s="4"/>
      <c r="K172" s="4">
        <v>225</v>
      </c>
      <c r="L172" s="4">
        <v>4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226</v>
      </c>
      <c r="F173" s="4">
        <f>ROUND(Source!AW167,O173)</f>
        <v>31656.35</v>
      </c>
      <c r="G173" s="4" t="s">
        <v>74</v>
      </c>
      <c r="H173" s="4" t="s">
        <v>75</v>
      </c>
      <c r="I173" s="4"/>
      <c r="J173" s="4"/>
      <c r="K173" s="4">
        <v>226</v>
      </c>
      <c r="L173" s="4">
        <v>5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227</v>
      </c>
      <c r="F174" s="4">
        <f>ROUND(Source!AX167,O174)</f>
        <v>0</v>
      </c>
      <c r="G174" s="4" t="s">
        <v>76</v>
      </c>
      <c r="H174" s="4" t="s">
        <v>77</v>
      </c>
      <c r="I174" s="4"/>
      <c r="J174" s="4"/>
      <c r="K174" s="4">
        <v>227</v>
      </c>
      <c r="L174" s="4">
        <v>6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228</v>
      </c>
      <c r="F175" s="4">
        <f>ROUND(Source!AY167,O175)</f>
        <v>31656.35</v>
      </c>
      <c r="G175" s="4" t="s">
        <v>78</v>
      </c>
      <c r="H175" s="4" t="s">
        <v>79</v>
      </c>
      <c r="I175" s="4"/>
      <c r="J175" s="4"/>
      <c r="K175" s="4">
        <v>228</v>
      </c>
      <c r="L175" s="4">
        <v>7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216</v>
      </c>
      <c r="F176" s="4">
        <f>ROUND(Source!AP167,O176)</f>
        <v>0</v>
      </c>
      <c r="G176" s="4" t="s">
        <v>80</v>
      </c>
      <c r="H176" s="4" t="s">
        <v>81</v>
      </c>
      <c r="I176" s="4"/>
      <c r="J176" s="4"/>
      <c r="K176" s="4">
        <v>216</v>
      </c>
      <c r="L176" s="4">
        <v>8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223</v>
      </c>
      <c r="F177" s="4">
        <f>ROUND(Source!AQ167,O177)</f>
        <v>0</v>
      </c>
      <c r="G177" s="4" t="s">
        <v>82</v>
      </c>
      <c r="H177" s="4" t="s">
        <v>83</v>
      </c>
      <c r="I177" s="4"/>
      <c r="J177" s="4"/>
      <c r="K177" s="4">
        <v>223</v>
      </c>
      <c r="L177" s="4">
        <v>9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229</v>
      </c>
      <c r="F178" s="4">
        <f>ROUND(Source!AZ167,O178)</f>
        <v>0</v>
      </c>
      <c r="G178" s="4" t="s">
        <v>84</v>
      </c>
      <c r="H178" s="4" t="s">
        <v>85</v>
      </c>
      <c r="I178" s="4"/>
      <c r="J178" s="4"/>
      <c r="K178" s="4">
        <v>229</v>
      </c>
      <c r="L178" s="4">
        <v>10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203</v>
      </c>
      <c r="F179" s="4">
        <f>ROUND(Source!Q167,O179)</f>
        <v>967.45</v>
      </c>
      <c r="G179" s="4" t="s">
        <v>86</v>
      </c>
      <c r="H179" s="4" t="s">
        <v>87</v>
      </c>
      <c r="I179" s="4"/>
      <c r="J179" s="4"/>
      <c r="K179" s="4">
        <v>203</v>
      </c>
      <c r="L179" s="4">
        <v>11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231</v>
      </c>
      <c r="F180" s="4">
        <f>ROUND(Source!BB167,O180)</f>
        <v>0</v>
      </c>
      <c r="G180" s="4" t="s">
        <v>88</v>
      </c>
      <c r="H180" s="4" t="s">
        <v>89</v>
      </c>
      <c r="I180" s="4"/>
      <c r="J180" s="4"/>
      <c r="K180" s="4">
        <v>231</v>
      </c>
      <c r="L180" s="4">
        <v>12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204</v>
      </c>
      <c r="F181" s="4">
        <f>ROUND(Source!R167,O181)</f>
        <v>57.74</v>
      </c>
      <c r="G181" s="4" t="s">
        <v>90</v>
      </c>
      <c r="H181" s="4" t="s">
        <v>91</v>
      </c>
      <c r="I181" s="4"/>
      <c r="J181" s="4"/>
      <c r="K181" s="4">
        <v>204</v>
      </c>
      <c r="L181" s="4">
        <v>13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205</v>
      </c>
      <c r="F182" s="4">
        <f>ROUND(Source!S167,O182)</f>
        <v>2376.7800000000002</v>
      </c>
      <c r="G182" s="4" t="s">
        <v>92</v>
      </c>
      <c r="H182" s="4" t="s">
        <v>93</v>
      </c>
      <c r="I182" s="4"/>
      <c r="J182" s="4"/>
      <c r="K182" s="4">
        <v>205</v>
      </c>
      <c r="L182" s="4">
        <v>14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232</v>
      </c>
      <c r="F183" s="4">
        <f>ROUND(Source!BC167,O183)</f>
        <v>0</v>
      </c>
      <c r="G183" s="4" t="s">
        <v>94</v>
      </c>
      <c r="H183" s="4" t="s">
        <v>95</v>
      </c>
      <c r="I183" s="4"/>
      <c r="J183" s="4"/>
      <c r="K183" s="4">
        <v>232</v>
      </c>
      <c r="L183" s="4">
        <v>15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214</v>
      </c>
      <c r="F184" s="4">
        <f>ROUND(Source!AS167,O184)</f>
        <v>40038.699999999997</v>
      </c>
      <c r="G184" s="4" t="s">
        <v>96</v>
      </c>
      <c r="H184" s="4" t="s">
        <v>97</v>
      </c>
      <c r="I184" s="4"/>
      <c r="J184" s="4"/>
      <c r="K184" s="4">
        <v>214</v>
      </c>
      <c r="L184" s="4">
        <v>16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215</v>
      </c>
      <c r="F185" s="4">
        <f>ROUND(Source!AT167,O185)</f>
        <v>0</v>
      </c>
      <c r="G185" s="4" t="s">
        <v>98</v>
      </c>
      <c r="H185" s="4" t="s">
        <v>99</v>
      </c>
      <c r="I185" s="4"/>
      <c r="J185" s="4"/>
      <c r="K185" s="4">
        <v>215</v>
      </c>
      <c r="L185" s="4">
        <v>17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217</v>
      </c>
      <c r="F186" s="4">
        <f>ROUND(Source!AU167,O186)</f>
        <v>0</v>
      </c>
      <c r="G186" s="4" t="s">
        <v>100</v>
      </c>
      <c r="H186" s="4" t="s">
        <v>101</v>
      </c>
      <c r="I186" s="4"/>
      <c r="J186" s="4"/>
      <c r="K186" s="4">
        <v>217</v>
      </c>
      <c r="L186" s="4">
        <v>18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230</v>
      </c>
      <c r="F187" s="4">
        <f>ROUND(Source!BA167,O187)</f>
        <v>0</v>
      </c>
      <c r="G187" s="4" t="s">
        <v>102</v>
      </c>
      <c r="H187" s="4" t="s">
        <v>103</v>
      </c>
      <c r="I187" s="4"/>
      <c r="J187" s="4"/>
      <c r="K187" s="4">
        <v>230</v>
      </c>
      <c r="L187" s="4">
        <v>19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206</v>
      </c>
      <c r="F188" s="4">
        <f>ROUND(Source!T167,O188)</f>
        <v>0</v>
      </c>
      <c r="G188" s="4" t="s">
        <v>104</v>
      </c>
      <c r="H188" s="4" t="s">
        <v>105</v>
      </c>
      <c r="I188" s="4"/>
      <c r="J188" s="4"/>
      <c r="K188" s="4">
        <v>206</v>
      </c>
      <c r="L188" s="4">
        <v>20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207</v>
      </c>
      <c r="F189" s="4">
        <f>Source!U167</f>
        <v>350.29078659999993</v>
      </c>
      <c r="G189" s="4" t="s">
        <v>106</v>
      </c>
      <c r="H189" s="4" t="s">
        <v>107</v>
      </c>
      <c r="I189" s="4"/>
      <c r="J189" s="4"/>
      <c r="K189" s="4">
        <v>207</v>
      </c>
      <c r="L189" s="4">
        <v>21</v>
      </c>
      <c r="M189" s="4">
        <v>3</v>
      </c>
      <c r="N189" s="4" t="s">
        <v>3</v>
      </c>
      <c r="O189" s="4">
        <v>-1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208</v>
      </c>
      <c r="F190" s="4">
        <f>Source!V167</f>
        <v>4.3498999999999999</v>
      </c>
      <c r="G190" s="4" t="s">
        <v>108</v>
      </c>
      <c r="H190" s="4" t="s">
        <v>109</v>
      </c>
      <c r="I190" s="4"/>
      <c r="J190" s="4"/>
      <c r="K190" s="4">
        <v>208</v>
      </c>
      <c r="L190" s="4">
        <v>22</v>
      </c>
      <c r="M190" s="4">
        <v>3</v>
      </c>
      <c r="N190" s="4" t="s">
        <v>3</v>
      </c>
      <c r="O190" s="4">
        <v>-1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209</v>
      </c>
      <c r="F191" s="4">
        <f>ROUND(Source!W167,O191)</f>
        <v>0</v>
      </c>
      <c r="G191" s="4" t="s">
        <v>110</v>
      </c>
      <c r="H191" s="4" t="s">
        <v>111</v>
      </c>
      <c r="I191" s="4"/>
      <c r="J191" s="4"/>
      <c r="K191" s="4">
        <v>209</v>
      </c>
      <c r="L191" s="4">
        <v>23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233</v>
      </c>
      <c r="F192" s="4">
        <f>ROUND(Source!BD167,O192)</f>
        <v>389.94</v>
      </c>
      <c r="G192" s="4" t="s">
        <v>112</v>
      </c>
      <c r="H192" s="4" t="s">
        <v>113</v>
      </c>
      <c r="I192" s="4"/>
      <c r="J192" s="4"/>
      <c r="K192" s="4">
        <v>233</v>
      </c>
      <c r="L192" s="4">
        <v>24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210</v>
      </c>
      <c r="F193" s="4">
        <f>ROUND(Source!X167,O193)</f>
        <v>3226.23</v>
      </c>
      <c r="G193" s="4" t="s">
        <v>114</v>
      </c>
      <c r="H193" s="4" t="s">
        <v>115</v>
      </c>
      <c r="I193" s="4"/>
      <c r="J193" s="4"/>
      <c r="K193" s="4">
        <v>210</v>
      </c>
      <c r="L193" s="4">
        <v>25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211</v>
      </c>
      <c r="F194" s="4">
        <f>ROUND(Source!Y167,O194)</f>
        <v>1811.89</v>
      </c>
      <c r="G194" s="4" t="s">
        <v>116</v>
      </c>
      <c r="H194" s="4" t="s">
        <v>117</v>
      </c>
      <c r="I194" s="4"/>
      <c r="J194" s="4"/>
      <c r="K194" s="4">
        <v>211</v>
      </c>
      <c r="L194" s="4">
        <v>26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224</v>
      </c>
      <c r="F195" s="4">
        <f>ROUND(Source!AR167,O195)</f>
        <v>40038.699999999997</v>
      </c>
      <c r="G195" s="4" t="s">
        <v>118</v>
      </c>
      <c r="H195" s="4" t="s">
        <v>119</v>
      </c>
      <c r="I195" s="4"/>
      <c r="J195" s="4"/>
      <c r="K195" s="4">
        <v>224</v>
      </c>
      <c r="L195" s="4">
        <v>27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7" spans="1:245" x14ac:dyDescent="0.2">
      <c r="A197" s="1">
        <v>5</v>
      </c>
      <c r="B197" s="1">
        <v>1</v>
      </c>
      <c r="C197" s="1"/>
      <c r="D197" s="1">
        <f>ROW(A206)</f>
        <v>206</v>
      </c>
      <c r="E197" s="1"/>
      <c r="F197" s="1" t="s">
        <v>16</v>
      </c>
      <c r="G197" s="1" t="s">
        <v>209</v>
      </c>
      <c r="H197" s="1" t="s">
        <v>3</v>
      </c>
      <c r="I197" s="1">
        <v>0</v>
      </c>
      <c r="J197" s="1"/>
      <c r="K197" s="1">
        <v>0</v>
      </c>
      <c r="L197" s="1"/>
      <c r="M197" s="1"/>
      <c r="N197" s="1"/>
      <c r="O197" s="1"/>
      <c r="P197" s="1"/>
      <c r="Q197" s="1"/>
      <c r="R197" s="1"/>
      <c r="S197" s="1"/>
      <c r="T197" s="1"/>
      <c r="U197" s="1" t="s">
        <v>3</v>
      </c>
      <c r="V197" s="1">
        <v>0</v>
      </c>
      <c r="W197" s="1"/>
      <c r="X197" s="1"/>
      <c r="Y197" s="1"/>
      <c r="Z197" s="1"/>
      <c r="AA197" s="1"/>
      <c r="AB197" s="1" t="s">
        <v>3</v>
      </c>
      <c r="AC197" s="1" t="s">
        <v>3</v>
      </c>
      <c r="AD197" s="1" t="s">
        <v>3</v>
      </c>
      <c r="AE197" s="1" t="s">
        <v>3</v>
      </c>
      <c r="AF197" s="1" t="s">
        <v>3</v>
      </c>
      <c r="AG197" s="1" t="s">
        <v>3</v>
      </c>
      <c r="AH197" s="1"/>
      <c r="AI197" s="1"/>
      <c r="AJ197" s="1"/>
      <c r="AK197" s="1"/>
      <c r="AL197" s="1"/>
      <c r="AM197" s="1"/>
      <c r="AN197" s="1"/>
      <c r="AO197" s="1"/>
      <c r="AP197" s="1" t="s">
        <v>3</v>
      </c>
      <c r="AQ197" s="1" t="s">
        <v>3</v>
      </c>
      <c r="AR197" s="1" t="s">
        <v>3</v>
      </c>
      <c r="AS197" s="1"/>
      <c r="AT197" s="1"/>
      <c r="AU197" s="1"/>
      <c r="AV197" s="1"/>
      <c r="AW197" s="1"/>
      <c r="AX197" s="1"/>
      <c r="AY197" s="1"/>
      <c r="AZ197" s="1" t="s">
        <v>3</v>
      </c>
      <c r="BA197" s="1"/>
      <c r="BB197" s="1" t="s">
        <v>3</v>
      </c>
      <c r="BC197" s="1" t="s">
        <v>3</v>
      </c>
      <c r="BD197" s="1" t="s">
        <v>12</v>
      </c>
      <c r="BE197" s="1" t="s">
        <v>12</v>
      </c>
      <c r="BF197" s="1" t="s">
        <v>13</v>
      </c>
      <c r="BG197" s="1" t="s">
        <v>3</v>
      </c>
      <c r="BH197" s="1" t="s">
        <v>13</v>
      </c>
      <c r="BI197" s="1" t="s">
        <v>12</v>
      </c>
      <c r="BJ197" s="1" t="s">
        <v>3</v>
      </c>
      <c r="BK197" s="1" t="s">
        <v>3</v>
      </c>
      <c r="BL197" s="1" t="s">
        <v>3</v>
      </c>
      <c r="BM197" s="1" t="s">
        <v>3</v>
      </c>
      <c r="BN197" s="1" t="s">
        <v>12</v>
      </c>
      <c r="BO197" s="1" t="s">
        <v>3</v>
      </c>
      <c r="BP197" s="1" t="s">
        <v>3</v>
      </c>
      <c r="BQ197" s="1"/>
      <c r="BR197" s="1"/>
      <c r="BS197" s="1"/>
      <c r="BT197" s="1"/>
      <c r="BU197" s="1"/>
      <c r="BV197" s="1"/>
      <c r="BW197" s="1"/>
      <c r="BX197" s="1">
        <v>0</v>
      </c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>
        <v>0</v>
      </c>
    </row>
    <row r="199" spans="1:245" x14ac:dyDescent="0.2">
      <c r="A199" s="2">
        <v>52</v>
      </c>
      <c r="B199" s="2">
        <f t="shared" ref="B199:G199" si="155">B206</f>
        <v>1</v>
      </c>
      <c r="C199" s="2">
        <f t="shared" si="155"/>
        <v>5</v>
      </c>
      <c r="D199" s="2">
        <f t="shared" si="155"/>
        <v>197</v>
      </c>
      <c r="E199" s="2">
        <f t="shared" si="155"/>
        <v>0</v>
      </c>
      <c r="F199" s="2" t="str">
        <f t="shared" si="155"/>
        <v>Новый подраздел</v>
      </c>
      <c r="G199" s="2" t="str">
        <f t="shared" si="155"/>
        <v>Установка урн</v>
      </c>
      <c r="H199" s="2"/>
      <c r="I199" s="2"/>
      <c r="J199" s="2"/>
      <c r="K199" s="2"/>
      <c r="L199" s="2"/>
      <c r="M199" s="2"/>
      <c r="N199" s="2"/>
      <c r="O199" s="2">
        <f t="shared" ref="O199:AT199" si="156">O206</f>
        <v>1484.91</v>
      </c>
      <c r="P199" s="2">
        <f t="shared" si="156"/>
        <v>1480.31</v>
      </c>
      <c r="Q199" s="2">
        <f t="shared" si="156"/>
        <v>1.19</v>
      </c>
      <c r="R199" s="2">
        <f t="shared" si="156"/>
        <v>0.18</v>
      </c>
      <c r="S199" s="2">
        <f t="shared" si="156"/>
        <v>3.41</v>
      </c>
      <c r="T199" s="2">
        <f t="shared" si="156"/>
        <v>0</v>
      </c>
      <c r="U199" s="2">
        <f t="shared" si="156"/>
        <v>0.53946499999999997</v>
      </c>
      <c r="V199" s="2">
        <f t="shared" si="156"/>
        <v>1.3499999999999998E-2</v>
      </c>
      <c r="W199" s="2">
        <f t="shared" si="156"/>
        <v>0</v>
      </c>
      <c r="X199" s="2">
        <f t="shared" si="156"/>
        <v>3.12</v>
      </c>
      <c r="Y199" s="2">
        <f t="shared" si="156"/>
        <v>1.53</v>
      </c>
      <c r="Z199" s="2">
        <f t="shared" si="156"/>
        <v>0</v>
      </c>
      <c r="AA199" s="2">
        <f t="shared" si="156"/>
        <v>0</v>
      </c>
      <c r="AB199" s="2">
        <f t="shared" si="156"/>
        <v>1484.91</v>
      </c>
      <c r="AC199" s="2">
        <f t="shared" si="156"/>
        <v>1480.31</v>
      </c>
      <c r="AD199" s="2">
        <f t="shared" si="156"/>
        <v>1.19</v>
      </c>
      <c r="AE199" s="2">
        <f t="shared" si="156"/>
        <v>0.18</v>
      </c>
      <c r="AF199" s="2">
        <f t="shared" si="156"/>
        <v>3.41</v>
      </c>
      <c r="AG199" s="2">
        <f t="shared" si="156"/>
        <v>0</v>
      </c>
      <c r="AH199" s="2">
        <f t="shared" si="156"/>
        <v>0.53946499999999997</v>
      </c>
      <c r="AI199" s="2">
        <f t="shared" si="156"/>
        <v>1.3499999999999998E-2</v>
      </c>
      <c r="AJ199" s="2">
        <f t="shared" si="156"/>
        <v>0</v>
      </c>
      <c r="AK199" s="2">
        <f t="shared" si="156"/>
        <v>3.12</v>
      </c>
      <c r="AL199" s="2">
        <f t="shared" si="156"/>
        <v>1.53</v>
      </c>
      <c r="AM199" s="2">
        <f t="shared" si="156"/>
        <v>0</v>
      </c>
      <c r="AN199" s="2">
        <f t="shared" si="156"/>
        <v>0</v>
      </c>
      <c r="AO199" s="2">
        <f t="shared" si="156"/>
        <v>0</v>
      </c>
      <c r="AP199" s="2">
        <f t="shared" si="156"/>
        <v>0</v>
      </c>
      <c r="AQ199" s="2">
        <f t="shared" si="156"/>
        <v>0</v>
      </c>
      <c r="AR199" s="2">
        <f t="shared" si="156"/>
        <v>1489.56</v>
      </c>
      <c r="AS199" s="2">
        <f t="shared" si="156"/>
        <v>1489.56</v>
      </c>
      <c r="AT199" s="2">
        <f t="shared" si="156"/>
        <v>0</v>
      </c>
      <c r="AU199" s="2">
        <f t="shared" ref="AU199:BZ199" si="157">AU206</f>
        <v>0</v>
      </c>
      <c r="AV199" s="2">
        <f t="shared" si="157"/>
        <v>1480.31</v>
      </c>
      <c r="AW199" s="2">
        <f t="shared" si="157"/>
        <v>1480.31</v>
      </c>
      <c r="AX199" s="2">
        <f t="shared" si="157"/>
        <v>0</v>
      </c>
      <c r="AY199" s="2">
        <f t="shared" si="157"/>
        <v>1480.31</v>
      </c>
      <c r="AZ199" s="2">
        <f t="shared" si="157"/>
        <v>0</v>
      </c>
      <c r="BA199" s="2">
        <f t="shared" si="157"/>
        <v>0</v>
      </c>
      <c r="BB199" s="2">
        <f t="shared" si="157"/>
        <v>0</v>
      </c>
      <c r="BC199" s="2">
        <f t="shared" si="157"/>
        <v>0</v>
      </c>
      <c r="BD199" s="2">
        <f t="shared" si="157"/>
        <v>0</v>
      </c>
      <c r="BE199" s="2">
        <f t="shared" si="157"/>
        <v>0</v>
      </c>
      <c r="BF199" s="2">
        <f t="shared" si="157"/>
        <v>0</v>
      </c>
      <c r="BG199" s="2">
        <f t="shared" si="157"/>
        <v>0</v>
      </c>
      <c r="BH199" s="2">
        <f t="shared" si="157"/>
        <v>0</v>
      </c>
      <c r="BI199" s="2">
        <f t="shared" si="157"/>
        <v>0</v>
      </c>
      <c r="BJ199" s="2">
        <f t="shared" si="157"/>
        <v>0</v>
      </c>
      <c r="BK199" s="2">
        <f t="shared" si="157"/>
        <v>0</v>
      </c>
      <c r="BL199" s="2">
        <f t="shared" si="157"/>
        <v>0</v>
      </c>
      <c r="BM199" s="2">
        <f t="shared" si="157"/>
        <v>0</v>
      </c>
      <c r="BN199" s="2">
        <f t="shared" si="157"/>
        <v>0</v>
      </c>
      <c r="BO199" s="2">
        <f t="shared" si="157"/>
        <v>0</v>
      </c>
      <c r="BP199" s="2">
        <f t="shared" si="157"/>
        <v>0</v>
      </c>
      <c r="BQ199" s="2">
        <f t="shared" si="157"/>
        <v>0</v>
      </c>
      <c r="BR199" s="2">
        <f t="shared" si="157"/>
        <v>0</v>
      </c>
      <c r="BS199" s="2">
        <f t="shared" si="157"/>
        <v>0</v>
      </c>
      <c r="BT199" s="2">
        <f t="shared" si="157"/>
        <v>0</v>
      </c>
      <c r="BU199" s="2">
        <f t="shared" si="157"/>
        <v>0</v>
      </c>
      <c r="BV199" s="2">
        <f t="shared" si="157"/>
        <v>0</v>
      </c>
      <c r="BW199" s="2">
        <f t="shared" si="157"/>
        <v>0</v>
      </c>
      <c r="BX199" s="2">
        <f t="shared" si="157"/>
        <v>0</v>
      </c>
      <c r="BY199" s="2">
        <f t="shared" si="157"/>
        <v>0</v>
      </c>
      <c r="BZ199" s="2">
        <f t="shared" si="157"/>
        <v>0</v>
      </c>
      <c r="CA199" s="2">
        <f t="shared" ref="CA199:DF199" si="158">CA206</f>
        <v>1489.56</v>
      </c>
      <c r="CB199" s="2">
        <f t="shared" si="158"/>
        <v>1489.56</v>
      </c>
      <c r="CC199" s="2">
        <f t="shared" si="158"/>
        <v>0</v>
      </c>
      <c r="CD199" s="2">
        <f t="shared" si="158"/>
        <v>0</v>
      </c>
      <c r="CE199" s="2">
        <f t="shared" si="158"/>
        <v>1480.31</v>
      </c>
      <c r="CF199" s="2">
        <f t="shared" si="158"/>
        <v>1480.31</v>
      </c>
      <c r="CG199" s="2">
        <f t="shared" si="158"/>
        <v>0</v>
      </c>
      <c r="CH199" s="2">
        <f t="shared" si="158"/>
        <v>1480.31</v>
      </c>
      <c r="CI199" s="2">
        <f t="shared" si="158"/>
        <v>0</v>
      </c>
      <c r="CJ199" s="2">
        <f t="shared" si="158"/>
        <v>0</v>
      </c>
      <c r="CK199" s="2">
        <f t="shared" si="158"/>
        <v>0</v>
      </c>
      <c r="CL199" s="2">
        <f t="shared" si="158"/>
        <v>0</v>
      </c>
      <c r="CM199" s="2">
        <f t="shared" si="158"/>
        <v>0</v>
      </c>
      <c r="CN199" s="2">
        <f t="shared" si="158"/>
        <v>0</v>
      </c>
      <c r="CO199" s="2">
        <f t="shared" si="158"/>
        <v>0</v>
      </c>
      <c r="CP199" s="2">
        <f t="shared" si="158"/>
        <v>0</v>
      </c>
      <c r="CQ199" s="2">
        <f t="shared" si="158"/>
        <v>0</v>
      </c>
      <c r="CR199" s="2">
        <f t="shared" si="158"/>
        <v>0</v>
      </c>
      <c r="CS199" s="2">
        <f t="shared" si="158"/>
        <v>0</v>
      </c>
      <c r="CT199" s="2">
        <f t="shared" si="158"/>
        <v>0</v>
      </c>
      <c r="CU199" s="2">
        <f t="shared" si="158"/>
        <v>0</v>
      </c>
      <c r="CV199" s="2">
        <f t="shared" si="158"/>
        <v>0</v>
      </c>
      <c r="CW199" s="2">
        <f t="shared" si="158"/>
        <v>0</v>
      </c>
      <c r="CX199" s="2">
        <f t="shared" si="158"/>
        <v>0</v>
      </c>
      <c r="CY199" s="2">
        <f t="shared" si="158"/>
        <v>0</v>
      </c>
      <c r="CZ199" s="2">
        <f t="shared" si="158"/>
        <v>0</v>
      </c>
      <c r="DA199" s="2">
        <f t="shared" si="158"/>
        <v>0</v>
      </c>
      <c r="DB199" s="2">
        <f t="shared" si="158"/>
        <v>0</v>
      </c>
      <c r="DC199" s="2">
        <f t="shared" si="158"/>
        <v>0</v>
      </c>
      <c r="DD199" s="2">
        <f t="shared" si="158"/>
        <v>0</v>
      </c>
      <c r="DE199" s="2">
        <f t="shared" si="158"/>
        <v>0</v>
      </c>
      <c r="DF199" s="2">
        <f t="shared" si="158"/>
        <v>0</v>
      </c>
      <c r="DG199" s="3">
        <f t="shared" ref="DG199:EL199" si="159">DG206</f>
        <v>0</v>
      </c>
      <c r="DH199" s="3">
        <f t="shared" si="159"/>
        <v>0</v>
      </c>
      <c r="DI199" s="3">
        <f t="shared" si="159"/>
        <v>0</v>
      </c>
      <c r="DJ199" s="3">
        <f t="shared" si="159"/>
        <v>0</v>
      </c>
      <c r="DK199" s="3">
        <f t="shared" si="159"/>
        <v>0</v>
      </c>
      <c r="DL199" s="3">
        <f t="shared" si="159"/>
        <v>0</v>
      </c>
      <c r="DM199" s="3">
        <f t="shared" si="159"/>
        <v>0</v>
      </c>
      <c r="DN199" s="3">
        <f t="shared" si="159"/>
        <v>0</v>
      </c>
      <c r="DO199" s="3">
        <f t="shared" si="159"/>
        <v>0</v>
      </c>
      <c r="DP199" s="3">
        <f t="shared" si="159"/>
        <v>0</v>
      </c>
      <c r="DQ199" s="3">
        <f t="shared" si="159"/>
        <v>0</v>
      </c>
      <c r="DR199" s="3">
        <f t="shared" si="159"/>
        <v>0</v>
      </c>
      <c r="DS199" s="3">
        <f t="shared" si="159"/>
        <v>0</v>
      </c>
      <c r="DT199" s="3">
        <f t="shared" si="159"/>
        <v>0</v>
      </c>
      <c r="DU199" s="3">
        <f t="shared" si="159"/>
        <v>0</v>
      </c>
      <c r="DV199" s="3">
        <f t="shared" si="159"/>
        <v>0</v>
      </c>
      <c r="DW199" s="3">
        <f t="shared" si="159"/>
        <v>0</v>
      </c>
      <c r="DX199" s="3">
        <f t="shared" si="159"/>
        <v>0</v>
      </c>
      <c r="DY199" s="3">
        <f t="shared" si="159"/>
        <v>0</v>
      </c>
      <c r="DZ199" s="3">
        <f t="shared" si="159"/>
        <v>0</v>
      </c>
      <c r="EA199" s="3">
        <f t="shared" si="159"/>
        <v>0</v>
      </c>
      <c r="EB199" s="3">
        <f t="shared" si="159"/>
        <v>0</v>
      </c>
      <c r="EC199" s="3">
        <f t="shared" si="159"/>
        <v>0</v>
      </c>
      <c r="ED199" s="3">
        <f t="shared" si="159"/>
        <v>0</v>
      </c>
      <c r="EE199" s="3">
        <f t="shared" si="159"/>
        <v>0</v>
      </c>
      <c r="EF199" s="3">
        <f t="shared" si="159"/>
        <v>0</v>
      </c>
      <c r="EG199" s="3">
        <f t="shared" si="159"/>
        <v>0</v>
      </c>
      <c r="EH199" s="3">
        <f t="shared" si="159"/>
        <v>0</v>
      </c>
      <c r="EI199" s="3">
        <f t="shared" si="159"/>
        <v>0</v>
      </c>
      <c r="EJ199" s="3">
        <f t="shared" si="159"/>
        <v>0</v>
      </c>
      <c r="EK199" s="3">
        <f t="shared" si="159"/>
        <v>0</v>
      </c>
      <c r="EL199" s="3">
        <f t="shared" si="159"/>
        <v>0</v>
      </c>
      <c r="EM199" s="3">
        <f t="shared" ref="EM199:FR199" si="160">EM206</f>
        <v>0</v>
      </c>
      <c r="EN199" s="3">
        <f t="shared" si="160"/>
        <v>0</v>
      </c>
      <c r="EO199" s="3">
        <f t="shared" si="160"/>
        <v>0</v>
      </c>
      <c r="EP199" s="3">
        <f t="shared" si="160"/>
        <v>0</v>
      </c>
      <c r="EQ199" s="3">
        <f t="shared" si="160"/>
        <v>0</v>
      </c>
      <c r="ER199" s="3">
        <f t="shared" si="160"/>
        <v>0</v>
      </c>
      <c r="ES199" s="3">
        <f t="shared" si="160"/>
        <v>0</v>
      </c>
      <c r="ET199" s="3">
        <f t="shared" si="160"/>
        <v>0</v>
      </c>
      <c r="EU199" s="3">
        <f t="shared" si="160"/>
        <v>0</v>
      </c>
      <c r="EV199" s="3">
        <f t="shared" si="160"/>
        <v>0</v>
      </c>
      <c r="EW199" s="3">
        <f t="shared" si="160"/>
        <v>0</v>
      </c>
      <c r="EX199" s="3">
        <f t="shared" si="160"/>
        <v>0</v>
      </c>
      <c r="EY199" s="3">
        <f t="shared" si="160"/>
        <v>0</v>
      </c>
      <c r="EZ199" s="3">
        <f t="shared" si="160"/>
        <v>0</v>
      </c>
      <c r="FA199" s="3">
        <f t="shared" si="160"/>
        <v>0</v>
      </c>
      <c r="FB199" s="3">
        <f t="shared" si="160"/>
        <v>0</v>
      </c>
      <c r="FC199" s="3">
        <f t="shared" si="160"/>
        <v>0</v>
      </c>
      <c r="FD199" s="3">
        <f t="shared" si="160"/>
        <v>0</v>
      </c>
      <c r="FE199" s="3">
        <f t="shared" si="160"/>
        <v>0</v>
      </c>
      <c r="FF199" s="3">
        <f t="shared" si="160"/>
        <v>0</v>
      </c>
      <c r="FG199" s="3">
        <f t="shared" si="160"/>
        <v>0</v>
      </c>
      <c r="FH199" s="3">
        <f t="shared" si="160"/>
        <v>0</v>
      </c>
      <c r="FI199" s="3">
        <f t="shared" si="160"/>
        <v>0</v>
      </c>
      <c r="FJ199" s="3">
        <f t="shared" si="160"/>
        <v>0</v>
      </c>
      <c r="FK199" s="3">
        <f t="shared" si="160"/>
        <v>0</v>
      </c>
      <c r="FL199" s="3">
        <f t="shared" si="160"/>
        <v>0</v>
      </c>
      <c r="FM199" s="3">
        <f t="shared" si="160"/>
        <v>0</v>
      </c>
      <c r="FN199" s="3">
        <f t="shared" si="160"/>
        <v>0</v>
      </c>
      <c r="FO199" s="3">
        <f t="shared" si="160"/>
        <v>0</v>
      </c>
      <c r="FP199" s="3">
        <f t="shared" si="160"/>
        <v>0</v>
      </c>
      <c r="FQ199" s="3">
        <f t="shared" si="160"/>
        <v>0</v>
      </c>
      <c r="FR199" s="3">
        <f t="shared" si="160"/>
        <v>0</v>
      </c>
      <c r="FS199" s="3">
        <f t="shared" ref="FS199:GX199" si="161">FS206</f>
        <v>0</v>
      </c>
      <c r="FT199" s="3">
        <f t="shared" si="161"/>
        <v>0</v>
      </c>
      <c r="FU199" s="3">
        <f t="shared" si="161"/>
        <v>0</v>
      </c>
      <c r="FV199" s="3">
        <f t="shared" si="161"/>
        <v>0</v>
      </c>
      <c r="FW199" s="3">
        <f t="shared" si="161"/>
        <v>0</v>
      </c>
      <c r="FX199" s="3">
        <f t="shared" si="161"/>
        <v>0</v>
      </c>
      <c r="FY199" s="3">
        <f t="shared" si="161"/>
        <v>0</v>
      </c>
      <c r="FZ199" s="3">
        <f t="shared" si="161"/>
        <v>0</v>
      </c>
      <c r="GA199" s="3">
        <f t="shared" si="161"/>
        <v>0</v>
      </c>
      <c r="GB199" s="3">
        <f t="shared" si="161"/>
        <v>0</v>
      </c>
      <c r="GC199" s="3">
        <f t="shared" si="161"/>
        <v>0</v>
      </c>
      <c r="GD199" s="3">
        <f t="shared" si="161"/>
        <v>0</v>
      </c>
      <c r="GE199" s="3">
        <f t="shared" si="161"/>
        <v>0</v>
      </c>
      <c r="GF199" s="3">
        <f t="shared" si="161"/>
        <v>0</v>
      </c>
      <c r="GG199" s="3">
        <f t="shared" si="161"/>
        <v>0</v>
      </c>
      <c r="GH199" s="3">
        <f t="shared" si="161"/>
        <v>0</v>
      </c>
      <c r="GI199" s="3">
        <f t="shared" si="161"/>
        <v>0</v>
      </c>
      <c r="GJ199" s="3">
        <f t="shared" si="161"/>
        <v>0</v>
      </c>
      <c r="GK199" s="3">
        <f t="shared" si="161"/>
        <v>0</v>
      </c>
      <c r="GL199" s="3">
        <f t="shared" si="161"/>
        <v>0</v>
      </c>
      <c r="GM199" s="3">
        <f t="shared" si="161"/>
        <v>0</v>
      </c>
      <c r="GN199" s="3">
        <f t="shared" si="161"/>
        <v>0</v>
      </c>
      <c r="GO199" s="3">
        <f t="shared" si="161"/>
        <v>0</v>
      </c>
      <c r="GP199" s="3">
        <f t="shared" si="161"/>
        <v>0</v>
      </c>
      <c r="GQ199" s="3">
        <f t="shared" si="161"/>
        <v>0</v>
      </c>
      <c r="GR199" s="3">
        <f t="shared" si="161"/>
        <v>0</v>
      </c>
      <c r="GS199" s="3">
        <f t="shared" si="161"/>
        <v>0</v>
      </c>
      <c r="GT199" s="3">
        <f t="shared" si="161"/>
        <v>0</v>
      </c>
      <c r="GU199" s="3">
        <f t="shared" si="161"/>
        <v>0</v>
      </c>
      <c r="GV199" s="3">
        <f t="shared" si="161"/>
        <v>0</v>
      </c>
      <c r="GW199" s="3">
        <f t="shared" si="161"/>
        <v>0</v>
      </c>
      <c r="GX199" s="3">
        <f t="shared" si="161"/>
        <v>0</v>
      </c>
    </row>
    <row r="201" spans="1:245" x14ac:dyDescent="0.2">
      <c r="A201">
        <v>17</v>
      </c>
      <c r="B201">
        <v>1</v>
      </c>
      <c r="C201">
        <f>ROW(SmtRes!A109)</f>
        <v>109</v>
      </c>
      <c r="D201">
        <f>ROW(EtalonRes!A108)</f>
        <v>108</v>
      </c>
      <c r="E201" t="s">
        <v>210</v>
      </c>
      <c r="F201" t="s">
        <v>211</v>
      </c>
      <c r="G201" t="s">
        <v>212</v>
      </c>
      <c r="H201" t="s">
        <v>185</v>
      </c>
      <c r="I201">
        <f>ROUND((I202*2*0.2*0.2*0.7)/100,4)</f>
        <v>1.1000000000000001E-3</v>
      </c>
      <c r="J201">
        <v>0</v>
      </c>
      <c r="O201">
        <f>ROUND(CP201,2)</f>
        <v>2.25</v>
      </c>
      <c r="P201">
        <f>ROUND(CQ201*I201,2)</f>
        <v>0</v>
      </c>
      <c r="Q201">
        <f>ROUND(CR201*I201,2)</f>
        <v>0</v>
      </c>
      <c r="R201">
        <f>ROUND(CS201*I201,2)</f>
        <v>0</v>
      </c>
      <c r="S201">
        <f>ROUND(CT201*I201,2)</f>
        <v>2.25</v>
      </c>
      <c r="T201">
        <f>ROUND(CU201*I201,2)</f>
        <v>0</v>
      </c>
      <c r="U201">
        <f>CV201*I201</f>
        <v>0.35420000000000001</v>
      </c>
      <c r="V201">
        <f>CW201*I201</f>
        <v>0</v>
      </c>
      <c r="W201">
        <f>ROUND(CX201*I201,2)</f>
        <v>0</v>
      </c>
      <c r="X201">
        <f t="shared" ref="X201:Y204" si="162">ROUND(CY201,2)</f>
        <v>1.8</v>
      </c>
      <c r="Y201">
        <f t="shared" si="162"/>
        <v>0.86</v>
      </c>
      <c r="AA201">
        <v>39201625</v>
      </c>
      <c r="AB201">
        <f>ROUND((AC201+AD201+AF201),2)</f>
        <v>2044.7</v>
      </c>
      <c r="AC201">
        <f>ROUND((ES201),2)</f>
        <v>0</v>
      </c>
      <c r="AD201">
        <f>ROUND(((((ET201*1.25))-((EU201*1.25)))+AE201),2)</f>
        <v>0</v>
      </c>
      <c r="AE201">
        <f>ROUND(((EU201*1.25)),2)</f>
        <v>0</v>
      </c>
      <c r="AF201">
        <f>ROUND(((EV201*1.15)),2)</f>
        <v>2044.7</v>
      </c>
      <c r="AG201">
        <f>ROUND((AP201),2)</f>
        <v>0</v>
      </c>
      <c r="AH201">
        <f>((EW201*1.15))</f>
        <v>322</v>
      </c>
      <c r="AI201">
        <f>((EX201*1.25))</f>
        <v>0</v>
      </c>
      <c r="AJ201">
        <f>(AS201)</f>
        <v>0</v>
      </c>
      <c r="AK201">
        <v>1778</v>
      </c>
      <c r="AL201">
        <v>0</v>
      </c>
      <c r="AM201">
        <v>0</v>
      </c>
      <c r="AN201">
        <v>0</v>
      </c>
      <c r="AO201">
        <v>1778</v>
      </c>
      <c r="AP201">
        <v>0</v>
      </c>
      <c r="AQ201">
        <v>280</v>
      </c>
      <c r="AR201">
        <v>0</v>
      </c>
      <c r="AS201">
        <v>0</v>
      </c>
      <c r="AT201">
        <v>80</v>
      </c>
      <c r="AU201">
        <v>38</v>
      </c>
      <c r="AV201">
        <v>1</v>
      </c>
      <c r="AW201">
        <v>1</v>
      </c>
      <c r="AZ201">
        <v>1</v>
      </c>
      <c r="BA201">
        <v>1</v>
      </c>
      <c r="BB201">
        <v>1</v>
      </c>
      <c r="BC201">
        <v>1</v>
      </c>
      <c r="BD201" t="s">
        <v>3</v>
      </c>
      <c r="BE201" t="s">
        <v>3</v>
      </c>
      <c r="BF201" t="s">
        <v>3</v>
      </c>
      <c r="BG201" t="s">
        <v>3</v>
      </c>
      <c r="BH201">
        <v>0</v>
      </c>
      <c r="BI201">
        <v>1</v>
      </c>
      <c r="BJ201" t="s">
        <v>213</v>
      </c>
      <c r="BM201">
        <v>1003</v>
      </c>
      <c r="BN201">
        <v>0</v>
      </c>
      <c r="BO201" t="s">
        <v>3</v>
      </c>
      <c r="BP201">
        <v>0</v>
      </c>
      <c r="BQ201">
        <v>2</v>
      </c>
      <c r="BR201">
        <v>0</v>
      </c>
      <c r="BS201">
        <v>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80</v>
      </c>
      <c r="CA201">
        <v>45</v>
      </c>
      <c r="CE201">
        <v>0</v>
      </c>
      <c r="CF201">
        <v>0</v>
      </c>
      <c r="CG201">
        <v>0</v>
      </c>
      <c r="CM201">
        <v>0</v>
      </c>
      <c r="CN201" t="s">
        <v>3</v>
      </c>
      <c r="CO201">
        <v>0</v>
      </c>
      <c r="CP201">
        <f>(P201+Q201+S201)</f>
        <v>2.25</v>
      </c>
      <c r="CQ201">
        <f>AC201*BC201</f>
        <v>0</v>
      </c>
      <c r="CR201">
        <f>AD201*BB201</f>
        <v>0</v>
      </c>
      <c r="CS201">
        <f>AE201*BS201</f>
        <v>0</v>
      </c>
      <c r="CT201">
        <f>AF201*BA201</f>
        <v>2044.7</v>
      </c>
      <c r="CU201">
        <f t="shared" ref="CU201:CX204" si="163">AG201</f>
        <v>0</v>
      </c>
      <c r="CV201">
        <f t="shared" si="163"/>
        <v>322</v>
      </c>
      <c r="CW201">
        <f t="shared" si="163"/>
        <v>0</v>
      </c>
      <c r="CX201">
        <f t="shared" si="163"/>
        <v>0</v>
      </c>
      <c r="CY201">
        <f>(((S201+R201)*ROUND((FX201*IF((0=0),(IF(0,1,1)*1*IF(1,1,1)),1)),0))/100)</f>
        <v>1.8</v>
      </c>
      <c r="CZ201">
        <f>(((S201+R201)*ROUND((FY201*IF((0=0),(1*IF(1,1,1)),1)),0))/100)</f>
        <v>0.85499999999999998</v>
      </c>
      <c r="DC201" t="s">
        <v>3</v>
      </c>
      <c r="DD201" t="s">
        <v>3</v>
      </c>
      <c r="DE201" t="s">
        <v>12</v>
      </c>
      <c r="DF201" t="s">
        <v>12</v>
      </c>
      <c r="DG201" t="s">
        <v>13</v>
      </c>
      <c r="DH201" t="s">
        <v>3</v>
      </c>
      <c r="DI201" t="s">
        <v>13</v>
      </c>
      <c r="DJ201" t="s">
        <v>12</v>
      </c>
      <c r="DK201" t="s">
        <v>3</v>
      </c>
      <c r="DL201" t="s">
        <v>3</v>
      </c>
      <c r="DM201" t="s">
        <v>3</v>
      </c>
      <c r="DN201">
        <v>0</v>
      </c>
      <c r="DO201">
        <v>0</v>
      </c>
      <c r="DP201">
        <v>1</v>
      </c>
      <c r="DQ201">
        <v>1</v>
      </c>
      <c r="DU201">
        <v>1013</v>
      </c>
      <c r="DV201" t="s">
        <v>185</v>
      </c>
      <c r="DW201" t="s">
        <v>185</v>
      </c>
      <c r="DX201">
        <v>1</v>
      </c>
      <c r="EE201">
        <v>39190872</v>
      </c>
      <c r="EF201">
        <v>2</v>
      </c>
      <c r="EG201" t="s">
        <v>31</v>
      </c>
      <c r="EH201">
        <v>0</v>
      </c>
      <c r="EI201" t="s">
        <v>3</v>
      </c>
      <c r="EJ201">
        <v>1</v>
      </c>
      <c r="EK201">
        <v>1003</v>
      </c>
      <c r="EL201" t="s">
        <v>187</v>
      </c>
      <c r="EM201" t="s">
        <v>46</v>
      </c>
      <c r="EO201" t="s">
        <v>3</v>
      </c>
      <c r="EQ201">
        <v>131072</v>
      </c>
      <c r="ER201">
        <v>1778</v>
      </c>
      <c r="ES201">
        <v>0</v>
      </c>
      <c r="ET201">
        <v>0</v>
      </c>
      <c r="EU201">
        <v>0</v>
      </c>
      <c r="EV201">
        <v>1778</v>
      </c>
      <c r="EW201">
        <v>280</v>
      </c>
      <c r="EX201">
        <v>0</v>
      </c>
      <c r="EY201">
        <v>0</v>
      </c>
      <c r="FQ201">
        <v>0</v>
      </c>
      <c r="FR201">
        <f>ROUND(IF(AND(BH201=3,BI201=3),P201,0),2)</f>
        <v>0</v>
      </c>
      <c r="FS201">
        <v>0</v>
      </c>
      <c r="FU201" t="s">
        <v>34</v>
      </c>
      <c r="FX201">
        <v>80</v>
      </c>
      <c r="FY201">
        <v>38.25</v>
      </c>
      <c r="GA201" t="s">
        <v>3</v>
      </c>
      <c r="GD201">
        <v>1</v>
      </c>
      <c r="GF201">
        <v>995948563</v>
      </c>
      <c r="GG201">
        <v>2</v>
      </c>
      <c r="GH201">
        <v>0</v>
      </c>
      <c r="GI201">
        <v>0</v>
      </c>
      <c r="GJ201">
        <v>0</v>
      </c>
      <c r="GK201">
        <v>0</v>
      </c>
      <c r="GL201">
        <f>ROUND(IF(AND(BH201=3,BI201=3,FS201&lt;&gt;0),P201,0),2)</f>
        <v>0</v>
      </c>
      <c r="GM201">
        <f>ROUND(O201+X201+Y201,2)+GX201</f>
        <v>4.91</v>
      </c>
      <c r="GN201">
        <f>IF(OR(BI201=0,BI201=1),ROUND(O201+X201+Y201,2),0)</f>
        <v>4.91</v>
      </c>
      <c r="GO201">
        <f>IF(BI201=2,ROUND(O201+X201+Y201,2),0)</f>
        <v>0</v>
      </c>
      <c r="GP201">
        <f>IF(BI201=4,ROUND(O201+X201+Y201,2)+GX201,0)</f>
        <v>0</v>
      </c>
      <c r="GR201">
        <v>0</v>
      </c>
      <c r="GS201">
        <v>0</v>
      </c>
      <c r="GT201">
        <v>0</v>
      </c>
      <c r="GU201" t="s">
        <v>3</v>
      </c>
      <c r="GV201">
        <f>ROUND((GT201),2)</f>
        <v>0</v>
      </c>
      <c r="GW201">
        <v>1</v>
      </c>
      <c r="GX201">
        <f>ROUND(HC201*I201,2)</f>
        <v>0</v>
      </c>
      <c r="HA201">
        <v>0</v>
      </c>
      <c r="HB201">
        <v>0</v>
      </c>
      <c r="HC201">
        <f>GV201*GW201</f>
        <v>0</v>
      </c>
      <c r="IK201">
        <v>0</v>
      </c>
    </row>
    <row r="202" spans="1:245" x14ac:dyDescent="0.2">
      <c r="A202">
        <v>17</v>
      </c>
      <c r="B202">
        <v>1</v>
      </c>
      <c r="E202" t="s">
        <v>214</v>
      </c>
      <c r="F202" t="s">
        <v>215</v>
      </c>
      <c r="G202" t="s">
        <v>588</v>
      </c>
      <c r="H202" t="s">
        <v>216</v>
      </c>
      <c r="I202">
        <f>ROUND(2,4)</f>
        <v>2</v>
      </c>
      <c r="J202">
        <v>0</v>
      </c>
      <c r="O202">
        <f>ROUND(CP202,2)</f>
        <v>1449.46</v>
      </c>
      <c r="P202">
        <f>ROUND(CQ202*I202,2)</f>
        <v>1449.46</v>
      </c>
      <c r="Q202">
        <f>ROUND(CR202*I202,2)</f>
        <v>0</v>
      </c>
      <c r="R202">
        <f>ROUND(CS202*I202,2)</f>
        <v>0</v>
      </c>
      <c r="S202">
        <f>ROUND(CT202*I202,2)</f>
        <v>0</v>
      </c>
      <c r="T202">
        <f>ROUND(CU202*I202,2)</f>
        <v>0</v>
      </c>
      <c r="U202">
        <f>CV202*I202</f>
        <v>0</v>
      </c>
      <c r="V202">
        <f>CW202*I202</f>
        <v>0</v>
      </c>
      <c r="W202">
        <f>ROUND(CX202*I202,2)</f>
        <v>0</v>
      </c>
      <c r="X202">
        <f t="shared" si="162"/>
        <v>0</v>
      </c>
      <c r="Y202">
        <f t="shared" si="162"/>
        <v>0</v>
      </c>
      <c r="AA202">
        <v>39201625</v>
      </c>
      <c r="AB202">
        <f>ROUND((AC202+AD202+AF202),2)</f>
        <v>724.73</v>
      </c>
      <c r="AC202">
        <f>ROUND((ES202),2)</f>
        <v>724.73</v>
      </c>
      <c r="AD202">
        <f>ROUND((((ET202)-(EU202))+AE202),2)</f>
        <v>0</v>
      </c>
      <c r="AE202">
        <f>ROUND((EU202),2)</f>
        <v>0</v>
      </c>
      <c r="AF202">
        <f>ROUND((EV202),2)</f>
        <v>0</v>
      </c>
      <c r="AG202">
        <f>ROUND((AP202),2)</f>
        <v>0</v>
      </c>
      <c r="AH202">
        <f>(EW202)</f>
        <v>0</v>
      </c>
      <c r="AI202">
        <f>(EX202)</f>
        <v>0</v>
      </c>
      <c r="AJ202">
        <f>(AS202)</f>
        <v>0</v>
      </c>
      <c r="AK202">
        <v>724.73</v>
      </c>
      <c r="AL202">
        <v>724.73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</v>
      </c>
      <c r="BD202" t="s">
        <v>3</v>
      </c>
      <c r="BE202" t="s">
        <v>3</v>
      </c>
      <c r="BF202" t="s">
        <v>3</v>
      </c>
      <c r="BG202" t="s">
        <v>3</v>
      </c>
      <c r="BH202">
        <v>3</v>
      </c>
      <c r="BI202">
        <v>1</v>
      </c>
      <c r="BJ202" t="s">
        <v>3</v>
      </c>
      <c r="BM202">
        <v>1100</v>
      </c>
      <c r="BN202">
        <v>0</v>
      </c>
      <c r="BO202" t="s">
        <v>3</v>
      </c>
      <c r="BP202">
        <v>0</v>
      </c>
      <c r="BQ202">
        <v>8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0</v>
      </c>
      <c r="CA202">
        <v>0</v>
      </c>
      <c r="CE202">
        <v>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>(P202+Q202+S202)</f>
        <v>1449.46</v>
      </c>
      <c r="CQ202">
        <f>AC202*BC202</f>
        <v>724.73</v>
      </c>
      <c r="CR202">
        <f>AD202*BB202</f>
        <v>0</v>
      </c>
      <c r="CS202">
        <f>AE202*BS202</f>
        <v>0</v>
      </c>
      <c r="CT202">
        <f>AF202*BA202</f>
        <v>0</v>
      </c>
      <c r="CU202">
        <f t="shared" si="163"/>
        <v>0</v>
      </c>
      <c r="CV202">
        <f t="shared" si="163"/>
        <v>0</v>
      </c>
      <c r="CW202">
        <f t="shared" si="163"/>
        <v>0</v>
      </c>
      <c r="CX202">
        <f t="shared" si="163"/>
        <v>0</v>
      </c>
      <c r="CY202">
        <f>(((S202+R202)*0)/100)</f>
        <v>0</v>
      </c>
      <c r="CZ202">
        <f>(((S202+R202)*0)/100)</f>
        <v>0</v>
      </c>
      <c r="DC202" t="s">
        <v>3</v>
      </c>
      <c r="DD202" t="s">
        <v>3</v>
      </c>
      <c r="DE202" t="s">
        <v>3</v>
      </c>
      <c r="DF202" t="s">
        <v>3</v>
      </c>
      <c r="DG202" t="s">
        <v>3</v>
      </c>
      <c r="DH202" t="s">
        <v>3</v>
      </c>
      <c r="DI202" t="s">
        <v>3</v>
      </c>
      <c r="DJ202" t="s">
        <v>3</v>
      </c>
      <c r="DK202" t="s">
        <v>3</v>
      </c>
      <c r="DL202" t="s">
        <v>3</v>
      </c>
      <c r="DM202" t="s">
        <v>3</v>
      </c>
      <c r="DN202">
        <v>0</v>
      </c>
      <c r="DO202">
        <v>0</v>
      </c>
      <c r="DP202">
        <v>1</v>
      </c>
      <c r="DQ202">
        <v>1</v>
      </c>
      <c r="DU202">
        <v>1013</v>
      </c>
      <c r="DV202" t="s">
        <v>216</v>
      </c>
      <c r="DW202" t="s">
        <v>216</v>
      </c>
      <c r="DX202">
        <v>1</v>
      </c>
      <c r="EE202">
        <v>39190877</v>
      </c>
      <c r="EF202">
        <v>8</v>
      </c>
      <c r="EG202" t="s">
        <v>217</v>
      </c>
      <c r="EH202">
        <v>0</v>
      </c>
      <c r="EI202" t="s">
        <v>3</v>
      </c>
      <c r="EJ202">
        <v>1</v>
      </c>
      <c r="EK202">
        <v>1100</v>
      </c>
      <c r="EL202" t="s">
        <v>218</v>
      </c>
      <c r="EM202" t="s">
        <v>219</v>
      </c>
      <c r="EO202" t="s">
        <v>3</v>
      </c>
      <c r="EQ202">
        <v>131072</v>
      </c>
      <c r="ER202">
        <v>724.73</v>
      </c>
      <c r="ES202">
        <v>724.73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5</v>
      </c>
      <c r="FC202">
        <v>1</v>
      </c>
      <c r="FD202">
        <v>18</v>
      </c>
      <c r="FF202">
        <v>7000</v>
      </c>
      <c r="FQ202">
        <v>0</v>
      </c>
      <c r="FR202">
        <f>ROUND(IF(AND(BH202=3,BI202=3),P202,0),2)</f>
        <v>0</v>
      </c>
      <c r="FS202">
        <v>0</v>
      </c>
      <c r="FX202">
        <v>0</v>
      </c>
      <c r="FY202">
        <v>0</v>
      </c>
      <c r="GA202" t="s">
        <v>220</v>
      </c>
      <c r="GD202">
        <v>1</v>
      </c>
      <c r="GF202">
        <v>-2029172018</v>
      </c>
      <c r="GG202">
        <v>2</v>
      </c>
      <c r="GH202">
        <v>3</v>
      </c>
      <c r="GI202">
        <v>3</v>
      </c>
      <c r="GJ202">
        <v>0</v>
      </c>
      <c r="GK202">
        <v>0</v>
      </c>
      <c r="GL202">
        <f>ROUND(IF(AND(BH202=3,BI202=3,FS202&lt;&gt;0),P202,0),2)</f>
        <v>0</v>
      </c>
      <c r="GM202">
        <f>ROUND(O202+X202+Y202,2)+GX202</f>
        <v>1449.46</v>
      </c>
      <c r="GN202">
        <f>IF(OR(BI202=0,BI202=1),ROUND(O202+X202+Y202,2),0)</f>
        <v>1449.46</v>
      </c>
      <c r="GO202">
        <f>IF(BI202=2,ROUND(O202+X202+Y202,2),0)</f>
        <v>0</v>
      </c>
      <c r="GP202">
        <f>IF(BI202=4,ROUND(O202+X202+Y202,2)+GX202,0)</f>
        <v>0</v>
      </c>
      <c r="GR202">
        <v>1</v>
      </c>
      <c r="GS202">
        <v>1</v>
      </c>
      <c r="GT202">
        <v>0</v>
      </c>
      <c r="GU202" t="s">
        <v>3</v>
      </c>
      <c r="GV202">
        <f>ROUND((GT202),2)</f>
        <v>0</v>
      </c>
      <c r="GW202">
        <v>1</v>
      </c>
      <c r="GX202">
        <f>ROUND(HC202*I202,2)</f>
        <v>0</v>
      </c>
      <c r="HA202">
        <v>0</v>
      </c>
      <c r="HB202">
        <v>0</v>
      </c>
      <c r="HC202">
        <f>GV202*GW202</f>
        <v>0</v>
      </c>
      <c r="IK202">
        <v>0</v>
      </c>
    </row>
    <row r="203" spans="1:245" x14ac:dyDescent="0.2">
      <c r="A203">
        <v>17</v>
      </c>
      <c r="B203">
        <v>1</v>
      </c>
      <c r="C203">
        <f>ROW(SmtRes!A117)</f>
        <v>117</v>
      </c>
      <c r="D203">
        <f>ROW(EtalonRes!A116)</f>
        <v>116</v>
      </c>
      <c r="E203" t="s">
        <v>221</v>
      </c>
      <c r="F203" t="s">
        <v>222</v>
      </c>
      <c r="G203" t="s">
        <v>223</v>
      </c>
      <c r="H203" t="s">
        <v>224</v>
      </c>
      <c r="I203">
        <f>ROUND((I201*100/2)/100,4)</f>
        <v>5.9999999999999995E-4</v>
      </c>
      <c r="J203">
        <v>0</v>
      </c>
      <c r="O203">
        <f>ROUND(CP203,2)</f>
        <v>32.83</v>
      </c>
      <c r="P203">
        <f>ROUND(CQ203*I203,2)</f>
        <v>30.85</v>
      </c>
      <c r="Q203">
        <f>ROUND(CR203*I203,2)</f>
        <v>1.19</v>
      </c>
      <c r="R203">
        <f>ROUND(CS203*I203,2)</f>
        <v>0.18</v>
      </c>
      <c r="S203">
        <f>ROUND(CT203*I203,2)</f>
        <v>0.79</v>
      </c>
      <c r="T203">
        <f>ROUND(CU203*I203,2)</f>
        <v>0</v>
      </c>
      <c r="U203">
        <f>CV203*I203</f>
        <v>0.12419999999999998</v>
      </c>
      <c r="V203">
        <f>CW203*I203</f>
        <v>1.3499999999999998E-2</v>
      </c>
      <c r="W203">
        <f>ROUND(CX203*I203,2)</f>
        <v>0</v>
      </c>
      <c r="X203">
        <f t="shared" si="162"/>
        <v>1.02</v>
      </c>
      <c r="Y203">
        <f t="shared" si="162"/>
        <v>0.53</v>
      </c>
      <c r="AA203">
        <v>39201625</v>
      </c>
      <c r="AB203">
        <f>ROUND((AC203+AD203+AF203),2)</f>
        <v>54712.6</v>
      </c>
      <c r="AC203">
        <f>ROUND((ES203),2)</f>
        <v>51415.49</v>
      </c>
      <c r="AD203">
        <f>ROUND(((((ET203*1.25))-((EU203*1.25)))+AE203),2)</f>
        <v>1982.66</v>
      </c>
      <c r="AE203">
        <f>ROUND(((EU203*1.25)),2)</f>
        <v>298.35000000000002</v>
      </c>
      <c r="AF203">
        <f>ROUND(((EV203*1.15)),2)</f>
        <v>1314.45</v>
      </c>
      <c r="AG203">
        <f>ROUND((AP203),2)</f>
        <v>0</v>
      </c>
      <c r="AH203">
        <f>((EW203*1.15))</f>
        <v>206.99999999999997</v>
      </c>
      <c r="AI203">
        <f>((EX203*1.25))</f>
        <v>22.5</v>
      </c>
      <c r="AJ203">
        <f>(AS203)</f>
        <v>0</v>
      </c>
      <c r="AK203">
        <v>54144.62</v>
      </c>
      <c r="AL203">
        <v>51415.49</v>
      </c>
      <c r="AM203">
        <v>1586.13</v>
      </c>
      <c r="AN203">
        <v>238.68</v>
      </c>
      <c r="AO203">
        <v>1143</v>
      </c>
      <c r="AP203">
        <v>0</v>
      </c>
      <c r="AQ203">
        <v>180</v>
      </c>
      <c r="AR203">
        <v>18</v>
      </c>
      <c r="AS203">
        <v>0</v>
      </c>
      <c r="AT203">
        <v>105</v>
      </c>
      <c r="AU203">
        <v>55</v>
      </c>
      <c r="AV203">
        <v>1</v>
      </c>
      <c r="AW203">
        <v>1</v>
      </c>
      <c r="AZ203">
        <v>1</v>
      </c>
      <c r="BA203">
        <v>1</v>
      </c>
      <c r="BB203">
        <v>1</v>
      </c>
      <c r="BC203">
        <v>1</v>
      </c>
      <c r="BD203" t="s">
        <v>3</v>
      </c>
      <c r="BE203" t="s">
        <v>3</v>
      </c>
      <c r="BF203" t="s">
        <v>3</v>
      </c>
      <c r="BG203" t="s">
        <v>3</v>
      </c>
      <c r="BH203">
        <v>0</v>
      </c>
      <c r="BI203">
        <v>1</v>
      </c>
      <c r="BJ203" t="s">
        <v>225</v>
      </c>
      <c r="BM203">
        <v>6001</v>
      </c>
      <c r="BN203">
        <v>0</v>
      </c>
      <c r="BO203" t="s">
        <v>3</v>
      </c>
      <c r="BP203">
        <v>0</v>
      </c>
      <c r="BQ203">
        <v>2</v>
      </c>
      <c r="BR203">
        <v>0</v>
      </c>
      <c r="BS203">
        <v>1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3</v>
      </c>
      <c r="BZ203">
        <v>105</v>
      </c>
      <c r="CA203">
        <v>65</v>
      </c>
      <c r="CE203">
        <v>0</v>
      </c>
      <c r="CF203">
        <v>0</v>
      </c>
      <c r="CG203">
        <v>0</v>
      </c>
      <c r="CM203">
        <v>0</v>
      </c>
      <c r="CN203" t="s">
        <v>3</v>
      </c>
      <c r="CO203">
        <v>0</v>
      </c>
      <c r="CP203">
        <f>(P203+Q203+S203)</f>
        <v>32.83</v>
      </c>
      <c r="CQ203">
        <f>AC203*BC203</f>
        <v>51415.49</v>
      </c>
      <c r="CR203">
        <f>AD203*BB203</f>
        <v>1982.66</v>
      </c>
      <c r="CS203">
        <f>AE203*BS203</f>
        <v>298.35000000000002</v>
      </c>
      <c r="CT203">
        <f>AF203*BA203</f>
        <v>1314.45</v>
      </c>
      <c r="CU203">
        <f t="shared" si="163"/>
        <v>0</v>
      </c>
      <c r="CV203">
        <f t="shared" si="163"/>
        <v>206.99999999999997</v>
      </c>
      <c r="CW203">
        <f t="shared" si="163"/>
        <v>22.5</v>
      </c>
      <c r="CX203">
        <f t="shared" si="163"/>
        <v>0</v>
      </c>
      <c r="CY203">
        <f>(((S203+R203)*ROUND((FX203*IF((0=0),(IF(0,1,1)*1*IF(1,1,1)),1)),0))/100)</f>
        <v>1.0185</v>
      </c>
      <c r="CZ203">
        <f>(((S203+R203)*ROUND((FY203*IF((0=0),(1*IF(1,1,1)),1)),0))/100)</f>
        <v>0.53349999999999997</v>
      </c>
      <c r="DC203" t="s">
        <v>3</v>
      </c>
      <c r="DD203" t="s">
        <v>3</v>
      </c>
      <c r="DE203" t="s">
        <v>12</v>
      </c>
      <c r="DF203" t="s">
        <v>12</v>
      </c>
      <c r="DG203" t="s">
        <v>13</v>
      </c>
      <c r="DH203" t="s">
        <v>3</v>
      </c>
      <c r="DI203" t="s">
        <v>13</v>
      </c>
      <c r="DJ203" t="s">
        <v>12</v>
      </c>
      <c r="DK203" t="s">
        <v>3</v>
      </c>
      <c r="DL203" t="s">
        <v>3</v>
      </c>
      <c r="DM203" t="s">
        <v>3</v>
      </c>
      <c r="DN203">
        <v>0</v>
      </c>
      <c r="DO203">
        <v>0</v>
      </c>
      <c r="DP203">
        <v>1</v>
      </c>
      <c r="DQ203">
        <v>1</v>
      </c>
      <c r="DU203">
        <v>1013</v>
      </c>
      <c r="DV203" t="s">
        <v>224</v>
      </c>
      <c r="DW203" t="s">
        <v>224</v>
      </c>
      <c r="DX203">
        <v>1</v>
      </c>
      <c r="EE203">
        <v>39190889</v>
      </c>
      <c r="EF203">
        <v>2</v>
      </c>
      <c r="EG203" t="s">
        <v>31</v>
      </c>
      <c r="EH203">
        <v>0</v>
      </c>
      <c r="EI203" t="s">
        <v>3</v>
      </c>
      <c r="EJ203">
        <v>1</v>
      </c>
      <c r="EK203">
        <v>6001</v>
      </c>
      <c r="EL203" t="s">
        <v>226</v>
      </c>
      <c r="EM203" t="s">
        <v>227</v>
      </c>
      <c r="EO203" t="s">
        <v>3</v>
      </c>
      <c r="EQ203">
        <v>131072</v>
      </c>
      <c r="ER203">
        <v>54144.62</v>
      </c>
      <c r="ES203">
        <v>51415.49</v>
      </c>
      <c r="ET203">
        <v>1586.13</v>
      </c>
      <c r="EU203">
        <v>238.68</v>
      </c>
      <c r="EV203">
        <v>1143</v>
      </c>
      <c r="EW203">
        <v>180</v>
      </c>
      <c r="EX203">
        <v>18</v>
      </c>
      <c r="EY203">
        <v>0</v>
      </c>
      <c r="FQ203">
        <v>0</v>
      </c>
      <c r="FR203">
        <f>ROUND(IF(AND(BH203=3,BI203=3),P203,0),2)</f>
        <v>0</v>
      </c>
      <c r="FS203">
        <v>0</v>
      </c>
      <c r="FU203" t="s">
        <v>34</v>
      </c>
      <c r="FX203">
        <v>105</v>
      </c>
      <c r="FY203">
        <v>55.25</v>
      </c>
      <c r="GA203" t="s">
        <v>3</v>
      </c>
      <c r="GD203">
        <v>1</v>
      </c>
      <c r="GF203">
        <v>289825225</v>
      </c>
      <c r="GG203">
        <v>2</v>
      </c>
      <c r="GH203">
        <v>0</v>
      </c>
      <c r="GI203">
        <v>0</v>
      </c>
      <c r="GJ203">
        <v>0</v>
      </c>
      <c r="GK203">
        <v>0</v>
      </c>
      <c r="GL203">
        <f>ROUND(IF(AND(BH203=3,BI203=3,FS203&lt;&gt;0),P203,0),2)</f>
        <v>0</v>
      </c>
      <c r="GM203">
        <f>ROUND(O203+X203+Y203,2)+GX203</f>
        <v>34.380000000000003</v>
      </c>
      <c r="GN203">
        <f>IF(OR(BI203=0,BI203=1),ROUND(O203+X203+Y203,2),0)</f>
        <v>34.380000000000003</v>
      </c>
      <c r="GO203">
        <f>IF(BI203=2,ROUND(O203+X203+Y203,2),0)</f>
        <v>0</v>
      </c>
      <c r="GP203">
        <f>IF(BI203=4,ROUND(O203+X203+Y203,2)+GX203,0)</f>
        <v>0</v>
      </c>
      <c r="GR203">
        <v>0</v>
      </c>
      <c r="GS203">
        <v>0</v>
      </c>
      <c r="GT203">
        <v>0</v>
      </c>
      <c r="GU203" t="s">
        <v>3</v>
      </c>
      <c r="GV203">
        <f>ROUND((GT203),2)</f>
        <v>0</v>
      </c>
      <c r="GW203">
        <v>1</v>
      </c>
      <c r="GX203">
        <f>ROUND(HC203*I203,2)</f>
        <v>0</v>
      </c>
      <c r="HA203">
        <v>0</v>
      </c>
      <c r="HB203">
        <v>0</v>
      </c>
      <c r="HC203">
        <f>GV203*GW203</f>
        <v>0</v>
      </c>
      <c r="IK203">
        <v>0</v>
      </c>
    </row>
    <row r="204" spans="1:245" x14ac:dyDescent="0.2">
      <c r="A204">
        <v>17</v>
      </c>
      <c r="B204">
        <v>1</v>
      </c>
      <c r="C204">
        <f>ROW(SmtRes!A118)</f>
        <v>118</v>
      </c>
      <c r="D204">
        <f>ROW(EtalonRes!A117)</f>
        <v>117</v>
      </c>
      <c r="E204" t="s">
        <v>228</v>
      </c>
      <c r="F204" t="s">
        <v>201</v>
      </c>
      <c r="G204" t="s">
        <v>202</v>
      </c>
      <c r="H204" t="s">
        <v>185</v>
      </c>
      <c r="I204">
        <f>ROUND((I203*100)/100,4)</f>
        <v>5.9999999999999995E-4</v>
      </c>
      <c r="J204">
        <v>0</v>
      </c>
      <c r="O204">
        <f>ROUND(CP204,2)</f>
        <v>0.37</v>
      </c>
      <c r="P204">
        <f>ROUND(CQ204*I204,2)</f>
        <v>0</v>
      </c>
      <c r="Q204">
        <f>ROUND(CR204*I204,2)</f>
        <v>0</v>
      </c>
      <c r="R204">
        <f>ROUND(CS204*I204,2)</f>
        <v>0</v>
      </c>
      <c r="S204">
        <f>ROUND(CT204*I204,2)</f>
        <v>0.37</v>
      </c>
      <c r="T204">
        <f>ROUND(CU204*I204,2)</f>
        <v>0</v>
      </c>
      <c r="U204">
        <f>CV204*I204</f>
        <v>6.1064999999999987E-2</v>
      </c>
      <c r="V204">
        <f>CW204*I204</f>
        <v>0</v>
      </c>
      <c r="W204">
        <f>ROUND(CX204*I204,2)</f>
        <v>0</v>
      </c>
      <c r="X204">
        <f t="shared" si="162"/>
        <v>0.3</v>
      </c>
      <c r="Y204">
        <f t="shared" si="162"/>
        <v>0.14000000000000001</v>
      </c>
      <c r="AA204">
        <v>39201625</v>
      </c>
      <c r="AB204">
        <f>ROUND((AC204+AD204+AF204),2)</f>
        <v>620.83000000000004</v>
      </c>
      <c r="AC204">
        <f>ROUND((ES204),2)</f>
        <v>0</v>
      </c>
      <c r="AD204">
        <f>ROUND(((((ET204*1.25))-((EU204*1.25)))+AE204),2)</f>
        <v>0</v>
      </c>
      <c r="AE204">
        <f>ROUND(((EU204*1.25)),2)</f>
        <v>0</v>
      </c>
      <c r="AF204">
        <f>ROUND(((EV204*1.15)),2)</f>
        <v>620.83000000000004</v>
      </c>
      <c r="AG204">
        <f>ROUND((AP204),2)</f>
        <v>0</v>
      </c>
      <c r="AH204">
        <f>((EW204*1.15))</f>
        <v>101.77499999999999</v>
      </c>
      <c r="AI204">
        <f>((EX204*1.25))</f>
        <v>0</v>
      </c>
      <c r="AJ204">
        <f>(AS204)</f>
        <v>0</v>
      </c>
      <c r="AK204">
        <v>539.85</v>
      </c>
      <c r="AL204">
        <v>0</v>
      </c>
      <c r="AM204">
        <v>0</v>
      </c>
      <c r="AN204">
        <v>0</v>
      </c>
      <c r="AO204">
        <v>539.85</v>
      </c>
      <c r="AP204">
        <v>0</v>
      </c>
      <c r="AQ204">
        <v>88.5</v>
      </c>
      <c r="AR204">
        <v>0</v>
      </c>
      <c r="AS204">
        <v>0</v>
      </c>
      <c r="AT204">
        <v>80</v>
      </c>
      <c r="AU204">
        <v>38</v>
      </c>
      <c r="AV204">
        <v>1</v>
      </c>
      <c r="AW204">
        <v>1</v>
      </c>
      <c r="AZ204">
        <v>1</v>
      </c>
      <c r="BA204">
        <v>1</v>
      </c>
      <c r="BB204">
        <v>1</v>
      </c>
      <c r="BC204">
        <v>1</v>
      </c>
      <c r="BD204" t="s">
        <v>3</v>
      </c>
      <c r="BE204" t="s">
        <v>3</v>
      </c>
      <c r="BF204" t="s">
        <v>3</v>
      </c>
      <c r="BG204" t="s">
        <v>3</v>
      </c>
      <c r="BH204">
        <v>0</v>
      </c>
      <c r="BI204">
        <v>1</v>
      </c>
      <c r="BJ204" t="s">
        <v>203</v>
      </c>
      <c r="BM204">
        <v>1003</v>
      </c>
      <c r="BN204">
        <v>0</v>
      </c>
      <c r="BO204" t="s">
        <v>3</v>
      </c>
      <c r="BP204">
        <v>0</v>
      </c>
      <c r="BQ204">
        <v>2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80</v>
      </c>
      <c r="CA204">
        <v>45</v>
      </c>
      <c r="CE204">
        <v>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>(P204+Q204+S204)</f>
        <v>0.37</v>
      </c>
      <c r="CQ204">
        <f>AC204*BC204</f>
        <v>0</v>
      </c>
      <c r="CR204">
        <f>AD204*BB204</f>
        <v>0</v>
      </c>
      <c r="CS204">
        <f>AE204*BS204</f>
        <v>0</v>
      </c>
      <c r="CT204">
        <f>AF204*BA204</f>
        <v>620.83000000000004</v>
      </c>
      <c r="CU204">
        <f t="shared" si="163"/>
        <v>0</v>
      </c>
      <c r="CV204">
        <f t="shared" si="163"/>
        <v>101.77499999999999</v>
      </c>
      <c r="CW204">
        <f t="shared" si="163"/>
        <v>0</v>
      </c>
      <c r="CX204">
        <f t="shared" si="163"/>
        <v>0</v>
      </c>
      <c r="CY204">
        <f>(((S204+R204)*ROUND((FX204*IF((0=0),(IF(0,1,1)*1*IF(1,1,1)),1)),0))/100)</f>
        <v>0.29600000000000004</v>
      </c>
      <c r="CZ204">
        <f>(((S204+R204)*ROUND((FY204*IF((0=0),(1*IF(1,1,1)),1)),0))/100)</f>
        <v>0.1406</v>
      </c>
      <c r="DC204" t="s">
        <v>3</v>
      </c>
      <c r="DD204" t="s">
        <v>3</v>
      </c>
      <c r="DE204" t="s">
        <v>12</v>
      </c>
      <c r="DF204" t="s">
        <v>12</v>
      </c>
      <c r="DG204" t="s">
        <v>13</v>
      </c>
      <c r="DH204" t="s">
        <v>3</v>
      </c>
      <c r="DI204" t="s">
        <v>13</v>
      </c>
      <c r="DJ204" t="s">
        <v>12</v>
      </c>
      <c r="DK204" t="s">
        <v>3</v>
      </c>
      <c r="DL204" t="s">
        <v>3</v>
      </c>
      <c r="DM204" t="s">
        <v>3</v>
      </c>
      <c r="DN204">
        <v>0</v>
      </c>
      <c r="DO204">
        <v>0</v>
      </c>
      <c r="DP204">
        <v>1</v>
      </c>
      <c r="DQ204">
        <v>1</v>
      </c>
      <c r="DU204">
        <v>1013</v>
      </c>
      <c r="DV204" t="s">
        <v>185</v>
      </c>
      <c r="DW204" t="s">
        <v>185</v>
      </c>
      <c r="DX204">
        <v>1</v>
      </c>
      <c r="EE204">
        <v>39190872</v>
      </c>
      <c r="EF204">
        <v>2</v>
      </c>
      <c r="EG204" t="s">
        <v>31</v>
      </c>
      <c r="EH204">
        <v>0</v>
      </c>
      <c r="EI204" t="s">
        <v>3</v>
      </c>
      <c r="EJ204">
        <v>1</v>
      </c>
      <c r="EK204">
        <v>1003</v>
      </c>
      <c r="EL204" t="s">
        <v>187</v>
      </c>
      <c r="EM204" t="s">
        <v>46</v>
      </c>
      <c r="EO204" t="s">
        <v>3</v>
      </c>
      <c r="EQ204">
        <v>131072</v>
      </c>
      <c r="ER204">
        <v>539.85</v>
      </c>
      <c r="ES204">
        <v>0</v>
      </c>
      <c r="ET204">
        <v>0</v>
      </c>
      <c r="EU204">
        <v>0</v>
      </c>
      <c r="EV204">
        <v>539.85</v>
      </c>
      <c r="EW204">
        <v>88.5</v>
      </c>
      <c r="EX204">
        <v>0</v>
      </c>
      <c r="EY204">
        <v>0</v>
      </c>
      <c r="FQ204">
        <v>0</v>
      </c>
      <c r="FR204">
        <f>ROUND(IF(AND(BH204=3,BI204=3),P204,0),2)</f>
        <v>0</v>
      </c>
      <c r="FS204">
        <v>0</v>
      </c>
      <c r="FU204" t="s">
        <v>34</v>
      </c>
      <c r="FX204">
        <v>80</v>
      </c>
      <c r="FY204">
        <v>38.25</v>
      </c>
      <c r="GA204" t="s">
        <v>3</v>
      </c>
      <c r="GD204">
        <v>1</v>
      </c>
      <c r="GF204">
        <v>-574956848</v>
      </c>
      <c r="GG204">
        <v>2</v>
      </c>
      <c r="GH204">
        <v>0</v>
      </c>
      <c r="GI204">
        <v>0</v>
      </c>
      <c r="GJ204">
        <v>0</v>
      </c>
      <c r="GK204">
        <v>0</v>
      </c>
      <c r="GL204">
        <f>ROUND(IF(AND(BH204=3,BI204=3,FS204&lt;&gt;0),P204,0),2)</f>
        <v>0</v>
      </c>
      <c r="GM204">
        <f>ROUND(O204+X204+Y204,2)+GX204</f>
        <v>0.81</v>
      </c>
      <c r="GN204">
        <f>IF(OR(BI204=0,BI204=1),ROUND(O204+X204+Y204,2),0)</f>
        <v>0.81</v>
      </c>
      <c r="GO204">
        <f>IF(BI204=2,ROUND(O204+X204+Y204,2),0)</f>
        <v>0</v>
      </c>
      <c r="GP204">
        <f>IF(BI204=4,ROUND(O204+X204+Y204,2)+GX204,0)</f>
        <v>0</v>
      </c>
      <c r="GR204">
        <v>0</v>
      </c>
      <c r="GS204">
        <v>0</v>
      </c>
      <c r="GT204">
        <v>0</v>
      </c>
      <c r="GU204" t="s">
        <v>3</v>
      </c>
      <c r="GV204">
        <f>ROUND((GT204),2)</f>
        <v>0</v>
      </c>
      <c r="GW204">
        <v>1</v>
      </c>
      <c r="GX204">
        <f>ROUND(HC204*I204,2)</f>
        <v>0</v>
      </c>
      <c r="HA204">
        <v>0</v>
      </c>
      <c r="HB204">
        <v>0</v>
      </c>
      <c r="HC204">
        <f>GV204*GW204</f>
        <v>0</v>
      </c>
      <c r="IK204">
        <v>0</v>
      </c>
    </row>
    <row r="206" spans="1:245" x14ac:dyDescent="0.2">
      <c r="A206" s="2">
        <v>51</v>
      </c>
      <c r="B206" s="2">
        <f>B197</f>
        <v>1</v>
      </c>
      <c r="C206" s="2">
        <f>A197</f>
        <v>5</v>
      </c>
      <c r="D206" s="2">
        <f>ROW(A197)</f>
        <v>197</v>
      </c>
      <c r="E206" s="2"/>
      <c r="F206" s="2" t="str">
        <f>IF(F197&lt;&gt;"",F197,"")</f>
        <v>Новый подраздел</v>
      </c>
      <c r="G206" s="2" t="str">
        <f>IF(G197&lt;&gt;"",G197,"")</f>
        <v>Установка урн</v>
      </c>
      <c r="H206" s="2">
        <v>0</v>
      </c>
      <c r="I206" s="2"/>
      <c r="J206" s="2"/>
      <c r="K206" s="2"/>
      <c r="L206" s="2"/>
      <c r="M206" s="2"/>
      <c r="N206" s="2"/>
      <c r="O206" s="2">
        <f t="shared" ref="O206:T206" si="164">ROUND(AB206,2)</f>
        <v>1484.91</v>
      </c>
      <c r="P206" s="2">
        <f t="shared" si="164"/>
        <v>1480.31</v>
      </c>
      <c r="Q206" s="2">
        <f t="shared" si="164"/>
        <v>1.19</v>
      </c>
      <c r="R206" s="2">
        <f t="shared" si="164"/>
        <v>0.18</v>
      </c>
      <c r="S206" s="2">
        <f t="shared" si="164"/>
        <v>3.41</v>
      </c>
      <c r="T206" s="2">
        <f t="shared" si="164"/>
        <v>0</v>
      </c>
      <c r="U206" s="2">
        <f>AH206</f>
        <v>0.53946499999999997</v>
      </c>
      <c r="V206" s="2">
        <f>AI206</f>
        <v>1.3499999999999998E-2</v>
      </c>
      <c r="W206" s="2">
        <f>ROUND(AJ206,2)</f>
        <v>0</v>
      </c>
      <c r="X206" s="2">
        <f>ROUND(AK206,2)</f>
        <v>3.12</v>
      </c>
      <c r="Y206" s="2">
        <f>ROUND(AL206,2)</f>
        <v>1.53</v>
      </c>
      <c r="Z206" s="2"/>
      <c r="AA206" s="2"/>
      <c r="AB206" s="2">
        <f>ROUND(SUMIF(AA201:AA204,"=39201625",O201:O204),2)</f>
        <v>1484.91</v>
      </c>
      <c r="AC206" s="2">
        <f>ROUND(SUMIF(AA201:AA204,"=39201625",P201:P204),2)</f>
        <v>1480.31</v>
      </c>
      <c r="AD206" s="2">
        <f>ROUND(SUMIF(AA201:AA204,"=39201625",Q201:Q204),2)</f>
        <v>1.19</v>
      </c>
      <c r="AE206" s="2">
        <f>ROUND(SUMIF(AA201:AA204,"=39201625",R201:R204),2)</f>
        <v>0.18</v>
      </c>
      <c r="AF206" s="2">
        <f>ROUND(SUMIF(AA201:AA204,"=39201625",S201:S204),2)</f>
        <v>3.41</v>
      </c>
      <c r="AG206" s="2">
        <f>ROUND(SUMIF(AA201:AA204,"=39201625",T201:T204),2)</f>
        <v>0</v>
      </c>
      <c r="AH206" s="2">
        <f>SUMIF(AA201:AA204,"=39201625",U201:U204)</f>
        <v>0.53946499999999997</v>
      </c>
      <c r="AI206" s="2">
        <f>SUMIF(AA201:AA204,"=39201625",V201:V204)</f>
        <v>1.3499999999999998E-2</v>
      </c>
      <c r="AJ206" s="2">
        <f>ROUND(SUMIF(AA201:AA204,"=39201625",W201:W204),2)</f>
        <v>0</v>
      </c>
      <c r="AK206" s="2">
        <f>ROUND(SUMIF(AA201:AA204,"=39201625",X201:X204),2)</f>
        <v>3.12</v>
      </c>
      <c r="AL206" s="2">
        <f>ROUND(SUMIF(AA201:AA204,"=39201625",Y201:Y204),2)</f>
        <v>1.53</v>
      </c>
      <c r="AM206" s="2"/>
      <c r="AN206" s="2"/>
      <c r="AO206" s="2">
        <f t="shared" ref="AO206:BD206" si="165">ROUND(BX206,2)</f>
        <v>0</v>
      </c>
      <c r="AP206" s="2">
        <f t="shared" si="165"/>
        <v>0</v>
      </c>
      <c r="AQ206" s="2">
        <f t="shared" si="165"/>
        <v>0</v>
      </c>
      <c r="AR206" s="2">
        <f t="shared" si="165"/>
        <v>1489.56</v>
      </c>
      <c r="AS206" s="2">
        <f t="shared" si="165"/>
        <v>1489.56</v>
      </c>
      <c r="AT206" s="2">
        <f t="shared" si="165"/>
        <v>0</v>
      </c>
      <c r="AU206" s="2">
        <f t="shared" si="165"/>
        <v>0</v>
      </c>
      <c r="AV206" s="2">
        <f t="shared" si="165"/>
        <v>1480.31</v>
      </c>
      <c r="AW206" s="2">
        <f t="shared" si="165"/>
        <v>1480.31</v>
      </c>
      <c r="AX206" s="2">
        <f t="shared" si="165"/>
        <v>0</v>
      </c>
      <c r="AY206" s="2">
        <f t="shared" si="165"/>
        <v>1480.31</v>
      </c>
      <c r="AZ206" s="2">
        <f t="shared" si="165"/>
        <v>0</v>
      </c>
      <c r="BA206" s="2">
        <f t="shared" si="165"/>
        <v>0</v>
      </c>
      <c r="BB206" s="2">
        <f t="shared" si="165"/>
        <v>0</v>
      </c>
      <c r="BC206" s="2">
        <f t="shared" si="165"/>
        <v>0</v>
      </c>
      <c r="BD206" s="2">
        <f t="shared" si="165"/>
        <v>0</v>
      </c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>
        <f>ROUND(SUMIF(AA201:AA204,"=39201625",FQ201:FQ204),2)</f>
        <v>0</v>
      </c>
      <c r="BY206" s="2">
        <f>ROUND(SUMIF(AA201:AA204,"=39201625",FR201:FR204),2)</f>
        <v>0</v>
      </c>
      <c r="BZ206" s="2">
        <f>ROUND(SUMIF(AA201:AA204,"=39201625",GL201:GL204),2)</f>
        <v>0</v>
      </c>
      <c r="CA206" s="2">
        <f>ROUND(SUMIF(AA201:AA204,"=39201625",GM201:GM204),2)</f>
        <v>1489.56</v>
      </c>
      <c r="CB206" s="2">
        <f>ROUND(SUMIF(AA201:AA204,"=39201625",GN201:GN204),2)</f>
        <v>1489.56</v>
      </c>
      <c r="CC206" s="2">
        <f>ROUND(SUMIF(AA201:AA204,"=39201625",GO201:GO204),2)</f>
        <v>0</v>
      </c>
      <c r="CD206" s="2">
        <f>ROUND(SUMIF(AA201:AA204,"=39201625",GP201:GP204),2)</f>
        <v>0</v>
      </c>
      <c r="CE206" s="2">
        <f>AC206-BX206</f>
        <v>1480.31</v>
      </c>
      <c r="CF206" s="2">
        <f>AC206-BY206</f>
        <v>1480.31</v>
      </c>
      <c r="CG206" s="2">
        <f>BX206-BZ206</f>
        <v>0</v>
      </c>
      <c r="CH206" s="2">
        <f>AC206-BX206-BY206+BZ206</f>
        <v>1480.31</v>
      </c>
      <c r="CI206" s="2">
        <f>BY206-BZ206</f>
        <v>0</v>
      </c>
      <c r="CJ206" s="2">
        <f>ROUND(SUMIF(AA201:AA204,"=39201625",GX201:GX204),2)</f>
        <v>0</v>
      </c>
      <c r="CK206" s="2">
        <f>ROUND(SUMIF(AA201:AA204,"=39201625",GY201:GY204),2)</f>
        <v>0</v>
      </c>
      <c r="CL206" s="2">
        <f>ROUND(SUMIF(AA201:AA204,"=39201625",GZ201:GZ204),2)</f>
        <v>0</v>
      </c>
      <c r="CM206" s="2">
        <f>ROUND(SUMIF(AA201:AA204,"=39201625",HD201:HD204),2)</f>
        <v>0</v>
      </c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>
        <v>0</v>
      </c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201</v>
      </c>
      <c r="F208" s="4">
        <f>ROUND(Source!O206,O208)</f>
        <v>1484.91</v>
      </c>
      <c r="G208" s="4" t="s">
        <v>66</v>
      </c>
      <c r="H208" s="4" t="s">
        <v>67</v>
      </c>
      <c r="I208" s="4"/>
      <c r="J208" s="4"/>
      <c r="K208" s="4">
        <v>201</v>
      </c>
      <c r="L208" s="4">
        <v>1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202</v>
      </c>
      <c r="F209" s="4">
        <f>ROUND(Source!P206,O209)</f>
        <v>1480.31</v>
      </c>
      <c r="G209" s="4" t="s">
        <v>68</v>
      </c>
      <c r="H209" s="4" t="s">
        <v>69</v>
      </c>
      <c r="I209" s="4"/>
      <c r="J209" s="4"/>
      <c r="K209" s="4">
        <v>202</v>
      </c>
      <c r="L209" s="4">
        <v>2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222</v>
      </c>
      <c r="F210" s="4">
        <f>ROUND(Source!AO206,O210)</f>
        <v>0</v>
      </c>
      <c r="G210" s="4" t="s">
        <v>70</v>
      </c>
      <c r="H210" s="4" t="s">
        <v>71</v>
      </c>
      <c r="I210" s="4"/>
      <c r="J210" s="4"/>
      <c r="K210" s="4">
        <v>222</v>
      </c>
      <c r="L210" s="4">
        <v>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225</v>
      </c>
      <c r="F211" s="4">
        <f>ROUND(Source!AV206,O211)</f>
        <v>1480.31</v>
      </c>
      <c r="G211" s="4" t="s">
        <v>72</v>
      </c>
      <c r="H211" s="4" t="s">
        <v>73</v>
      </c>
      <c r="I211" s="4"/>
      <c r="J211" s="4"/>
      <c r="K211" s="4">
        <v>225</v>
      </c>
      <c r="L211" s="4">
        <v>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226</v>
      </c>
      <c r="F212" s="4">
        <f>ROUND(Source!AW206,O212)</f>
        <v>1480.31</v>
      </c>
      <c r="G212" s="4" t="s">
        <v>74</v>
      </c>
      <c r="H212" s="4" t="s">
        <v>75</v>
      </c>
      <c r="I212" s="4"/>
      <c r="J212" s="4"/>
      <c r="K212" s="4">
        <v>226</v>
      </c>
      <c r="L212" s="4">
        <v>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227</v>
      </c>
      <c r="F213" s="4">
        <f>ROUND(Source!AX206,O213)</f>
        <v>0</v>
      </c>
      <c r="G213" s="4" t="s">
        <v>76</v>
      </c>
      <c r="H213" s="4" t="s">
        <v>77</v>
      </c>
      <c r="I213" s="4"/>
      <c r="J213" s="4"/>
      <c r="K213" s="4">
        <v>227</v>
      </c>
      <c r="L213" s="4">
        <v>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228</v>
      </c>
      <c r="F214" s="4">
        <f>ROUND(Source!AY206,O214)</f>
        <v>1480.31</v>
      </c>
      <c r="G214" s="4" t="s">
        <v>78</v>
      </c>
      <c r="H214" s="4" t="s">
        <v>79</v>
      </c>
      <c r="I214" s="4"/>
      <c r="J214" s="4"/>
      <c r="K214" s="4">
        <v>228</v>
      </c>
      <c r="L214" s="4">
        <v>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216</v>
      </c>
      <c r="F215" s="4">
        <f>ROUND(Source!AP206,O215)</f>
        <v>0</v>
      </c>
      <c r="G215" s="4" t="s">
        <v>80</v>
      </c>
      <c r="H215" s="4" t="s">
        <v>81</v>
      </c>
      <c r="I215" s="4"/>
      <c r="J215" s="4"/>
      <c r="K215" s="4">
        <v>216</v>
      </c>
      <c r="L215" s="4">
        <v>8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223</v>
      </c>
      <c r="F216" s="4">
        <f>ROUND(Source!AQ206,O216)</f>
        <v>0</v>
      </c>
      <c r="G216" s="4" t="s">
        <v>82</v>
      </c>
      <c r="H216" s="4" t="s">
        <v>83</v>
      </c>
      <c r="I216" s="4"/>
      <c r="J216" s="4"/>
      <c r="K216" s="4">
        <v>223</v>
      </c>
      <c r="L216" s="4">
        <v>9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229</v>
      </c>
      <c r="F217" s="4">
        <f>ROUND(Source!AZ206,O217)</f>
        <v>0</v>
      </c>
      <c r="G217" s="4" t="s">
        <v>84</v>
      </c>
      <c r="H217" s="4" t="s">
        <v>85</v>
      </c>
      <c r="I217" s="4"/>
      <c r="J217" s="4"/>
      <c r="K217" s="4">
        <v>229</v>
      </c>
      <c r="L217" s="4">
        <v>10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203</v>
      </c>
      <c r="F218" s="4">
        <f>ROUND(Source!Q206,O218)</f>
        <v>1.19</v>
      </c>
      <c r="G218" s="4" t="s">
        <v>86</v>
      </c>
      <c r="H218" s="4" t="s">
        <v>87</v>
      </c>
      <c r="I218" s="4"/>
      <c r="J218" s="4"/>
      <c r="K218" s="4">
        <v>203</v>
      </c>
      <c r="L218" s="4">
        <v>11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231</v>
      </c>
      <c r="F219" s="4">
        <f>ROUND(Source!BB206,O219)</f>
        <v>0</v>
      </c>
      <c r="G219" s="4" t="s">
        <v>88</v>
      </c>
      <c r="H219" s="4" t="s">
        <v>89</v>
      </c>
      <c r="I219" s="4"/>
      <c r="J219" s="4"/>
      <c r="K219" s="4">
        <v>231</v>
      </c>
      <c r="L219" s="4">
        <v>12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204</v>
      </c>
      <c r="F220" s="4">
        <f>ROUND(Source!R206,O220)</f>
        <v>0.18</v>
      </c>
      <c r="G220" s="4" t="s">
        <v>90</v>
      </c>
      <c r="H220" s="4" t="s">
        <v>91</v>
      </c>
      <c r="I220" s="4"/>
      <c r="J220" s="4"/>
      <c r="K220" s="4">
        <v>204</v>
      </c>
      <c r="L220" s="4">
        <v>13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205</v>
      </c>
      <c r="F221" s="4">
        <f>ROUND(Source!S206,O221)</f>
        <v>3.41</v>
      </c>
      <c r="G221" s="4" t="s">
        <v>92</v>
      </c>
      <c r="H221" s="4" t="s">
        <v>93</v>
      </c>
      <c r="I221" s="4"/>
      <c r="J221" s="4"/>
      <c r="K221" s="4">
        <v>205</v>
      </c>
      <c r="L221" s="4">
        <v>14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232</v>
      </c>
      <c r="F222" s="4">
        <f>ROUND(Source!BC206,O222)</f>
        <v>0</v>
      </c>
      <c r="G222" s="4" t="s">
        <v>94</v>
      </c>
      <c r="H222" s="4" t="s">
        <v>95</v>
      </c>
      <c r="I222" s="4"/>
      <c r="J222" s="4"/>
      <c r="K222" s="4">
        <v>232</v>
      </c>
      <c r="L222" s="4">
        <v>15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214</v>
      </c>
      <c r="F223" s="4">
        <f>ROUND(Source!AS206,O223)</f>
        <v>1489.56</v>
      </c>
      <c r="G223" s="4" t="s">
        <v>96</v>
      </c>
      <c r="H223" s="4" t="s">
        <v>97</v>
      </c>
      <c r="I223" s="4"/>
      <c r="J223" s="4"/>
      <c r="K223" s="4">
        <v>214</v>
      </c>
      <c r="L223" s="4">
        <v>16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215</v>
      </c>
      <c r="F224" s="4">
        <f>ROUND(Source!AT206,O224)</f>
        <v>0</v>
      </c>
      <c r="G224" s="4" t="s">
        <v>98</v>
      </c>
      <c r="H224" s="4" t="s">
        <v>99</v>
      </c>
      <c r="I224" s="4"/>
      <c r="J224" s="4"/>
      <c r="K224" s="4">
        <v>215</v>
      </c>
      <c r="L224" s="4">
        <v>17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217</v>
      </c>
      <c r="F225" s="4">
        <f>ROUND(Source!AU206,O225)</f>
        <v>0</v>
      </c>
      <c r="G225" s="4" t="s">
        <v>100</v>
      </c>
      <c r="H225" s="4" t="s">
        <v>101</v>
      </c>
      <c r="I225" s="4"/>
      <c r="J225" s="4"/>
      <c r="K225" s="4">
        <v>217</v>
      </c>
      <c r="L225" s="4">
        <v>18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230</v>
      </c>
      <c r="F226" s="4">
        <f>ROUND(Source!BA206,O226)</f>
        <v>0</v>
      </c>
      <c r="G226" s="4" t="s">
        <v>102</v>
      </c>
      <c r="H226" s="4" t="s">
        <v>103</v>
      </c>
      <c r="I226" s="4"/>
      <c r="J226" s="4"/>
      <c r="K226" s="4">
        <v>230</v>
      </c>
      <c r="L226" s="4">
        <v>19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206</v>
      </c>
      <c r="F227" s="4">
        <f>ROUND(Source!T206,O227)</f>
        <v>0</v>
      </c>
      <c r="G227" s="4" t="s">
        <v>104</v>
      </c>
      <c r="H227" s="4" t="s">
        <v>105</v>
      </c>
      <c r="I227" s="4"/>
      <c r="J227" s="4"/>
      <c r="K227" s="4">
        <v>206</v>
      </c>
      <c r="L227" s="4">
        <v>20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45" x14ac:dyDescent="0.2">
      <c r="A228" s="4">
        <v>50</v>
      </c>
      <c r="B228" s="4">
        <v>0</v>
      </c>
      <c r="C228" s="4">
        <v>0</v>
      </c>
      <c r="D228" s="4">
        <v>1</v>
      </c>
      <c r="E228" s="4">
        <v>207</v>
      </c>
      <c r="F228" s="4">
        <f>Source!U206</f>
        <v>0.53946499999999997</v>
      </c>
      <c r="G228" s="4" t="s">
        <v>106</v>
      </c>
      <c r="H228" s="4" t="s">
        <v>107</v>
      </c>
      <c r="I228" s="4"/>
      <c r="J228" s="4"/>
      <c r="K228" s="4">
        <v>207</v>
      </c>
      <c r="L228" s="4">
        <v>21</v>
      </c>
      <c r="M228" s="4">
        <v>3</v>
      </c>
      <c r="N228" s="4" t="s">
        <v>3</v>
      </c>
      <c r="O228" s="4">
        <v>-1</v>
      </c>
      <c r="P228" s="4"/>
      <c r="Q228" s="4"/>
      <c r="R228" s="4"/>
      <c r="S228" s="4"/>
      <c r="T228" s="4"/>
      <c r="U228" s="4"/>
      <c r="V228" s="4"/>
      <c r="W228" s="4"/>
    </row>
    <row r="229" spans="1:245" x14ac:dyDescent="0.2">
      <c r="A229" s="4">
        <v>50</v>
      </c>
      <c r="B229" s="4">
        <v>0</v>
      </c>
      <c r="C229" s="4">
        <v>0</v>
      </c>
      <c r="D229" s="4">
        <v>1</v>
      </c>
      <c r="E229" s="4">
        <v>208</v>
      </c>
      <c r="F229" s="4">
        <f>Source!V206</f>
        <v>1.3499999999999998E-2</v>
      </c>
      <c r="G229" s="4" t="s">
        <v>108</v>
      </c>
      <c r="H229" s="4" t="s">
        <v>109</v>
      </c>
      <c r="I229" s="4"/>
      <c r="J229" s="4"/>
      <c r="K229" s="4">
        <v>208</v>
      </c>
      <c r="L229" s="4">
        <v>22</v>
      </c>
      <c r="M229" s="4">
        <v>3</v>
      </c>
      <c r="N229" s="4" t="s">
        <v>3</v>
      </c>
      <c r="O229" s="4">
        <v>-1</v>
      </c>
      <c r="P229" s="4"/>
      <c r="Q229" s="4"/>
      <c r="R229" s="4"/>
      <c r="S229" s="4"/>
      <c r="T229" s="4"/>
      <c r="U229" s="4"/>
      <c r="V229" s="4"/>
      <c r="W229" s="4"/>
    </row>
    <row r="230" spans="1:245" x14ac:dyDescent="0.2">
      <c r="A230" s="4">
        <v>50</v>
      </c>
      <c r="B230" s="4">
        <v>0</v>
      </c>
      <c r="C230" s="4">
        <v>0</v>
      </c>
      <c r="D230" s="4">
        <v>1</v>
      </c>
      <c r="E230" s="4">
        <v>209</v>
      </c>
      <c r="F230" s="4">
        <f>ROUND(Source!W206,O230)</f>
        <v>0</v>
      </c>
      <c r="G230" s="4" t="s">
        <v>110</v>
      </c>
      <c r="H230" s="4" t="s">
        <v>111</v>
      </c>
      <c r="I230" s="4"/>
      <c r="J230" s="4"/>
      <c r="K230" s="4">
        <v>209</v>
      </c>
      <c r="L230" s="4">
        <v>23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233</v>
      </c>
      <c r="F231" s="4">
        <f>ROUND(Source!BD206,O231)</f>
        <v>0</v>
      </c>
      <c r="G231" s="4" t="s">
        <v>112</v>
      </c>
      <c r="H231" s="4" t="s">
        <v>113</v>
      </c>
      <c r="I231" s="4"/>
      <c r="J231" s="4"/>
      <c r="K231" s="4">
        <v>233</v>
      </c>
      <c r="L231" s="4">
        <v>24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210</v>
      </c>
      <c r="F232" s="4">
        <f>ROUND(Source!X206,O232)</f>
        <v>3.12</v>
      </c>
      <c r="G232" s="4" t="s">
        <v>114</v>
      </c>
      <c r="H232" s="4" t="s">
        <v>115</v>
      </c>
      <c r="I232" s="4"/>
      <c r="J232" s="4"/>
      <c r="K232" s="4">
        <v>210</v>
      </c>
      <c r="L232" s="4">
        <v>25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211</v>
      </c>
      <c r="F233" s="4">
        <f>ROUND(Source!Y206,O233)</f>
        <v>1.53</v>
      </c>
      <c r="G233" s="4" t="s">
        <v>116</v>
      </c>
      <c r="H233" s="4" t="s">
        <v>117</v>
      </c>
      <c r="I233" s="4"/>
      <c r="J233" s="4"/>
      <c r="K233" s="4">
        <v>211</v>
      </c>
      <c r="L233" s="4">
        <v>26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224</v>
      </c>
      <c r="F234" s="4">
        <f>ROUND(Source!AR206,O234)</f>
        <v>1489.56</v>
      </c>
      <c r="G234" s="4" t="s">
        <v>118</v>
      </c>
      <c r="H234" s="4" t="s">
        <v>119</v>
      </c>
      <c r="I234" s="4"/>
      <c r="J234" s="4"/>
      <c r="K234" s="4">
        <v>224</v>
      </c>
      <c r="L234" s="4">
        <v>27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6" spans="1:245" x14ac:dyDescent="0.2">
      <c r="A236" s="1">
        <v>5</v>
      </c>
      <c r="B236" s="1">
        <v>1</v>
      </c>
      <c r="C236" s="1"/>
      <c r="D236" s="1">
        <f>ROW(A245)</f>
        <v>245</v>
      </c>
      <c r="E236" s="1"/>
      <c r="F236" s="1" t="s">
        <v>16</v>
      </c>
      <c r="G236" s="1" t="s">
        <v>229</v>
      </c>
      <c r="H236" s="1" t="s">
        <v>3</v>
      </c>
      <c r="I236" s="1">
        <v>0</v>
      </c>
      <c r="J236" s="1"/>
      <c r="K236" s="1">
        <v>0</v>
      </c>
      <c r="L236" s="1"/>
      <c r="M236" s="1"/>
      <c r="N236" s="1"/>
      <c r="O236" s="1"/>
      <c r="P236" s="1"/>
      <c r="Q236" s="1"/>
      <c r="R236" s="1"/>
      <c r="S236" s="1"/>
      <c r="T236" s="1"/>
      <c r="U236" s="1" t="s">
        <v>3</v>
      </c>
      <c r="V236" s="1">
        <v>0</v>
      </c>
      <c r="W236" s="1"/>
      <c r="X236" s="1"/>
      <c r="Y236" s="1"/>
      <c r="Z236" s="1"/>
      <c r="AA236" s="1"/>
      <c r="AB236" s="1" t="s">
        <v>3</v>
      </c>
      <c r="AC236" s="1" t="s">
        <v>3</v>
      </c>
      <c r="AD236" s="1" t="s">
        <v>3</v>
      </c>
      <c r="AE236" s="1" t="s">
        <v>3</v>
      </c>
      <c r="AF236" s="1" t="s">
        <v>3</v>
      </c>
      <c r="AG236" s="1" t="s">
        <v>3</v>
      </c>
      <c r="AH236" s="1"/>
      <c r="AI236" s="1"/>
      <c r="AJ236" s="1"/>
      <c r="AK236" s="1"/>
      <c r="AL236" s="1"/>
      <c r="AM236" s="1"/>
      <c r="AN236" s="1"/>
      <c r="AO236" s="1"/>
      <c r="AP236" s="1" t="s">
        <v>3</v>
      </c>
      <c r="AQ236" s="1" t="s">
        <v>3</v>
      </c>
      <c r="AR236" s="1" t="s">
        <v>3</v>
      </c>
      <c r="AS236" s="1"/>
      <c r="AT236" s="1"/>
      <c r="AU236" s="1"/>
      <c r="AV236" s="1"/>
      <c r="AW236" s="1"/>
      <c r="AX236" s="1"/>
      <c r="AY236" s="1"/>
      <c r="AZ236" s="1" t="s">
        <v>3</v>
      </c>
      <c r="BA236" s="1"/>
      <c r="BB236" s="1" t="s">
        <v>3</v>
      </c>
      <c r="BC236" s="1" t="s">
        <v>3</v>
      </c>
      <c r="BD236" s="1" t="s">
        <v>12</v>
      </c>
      <c r="BE236" s="1" t="s">
        <v>12</v>
      </c>
      <c r="BF236" s="1" t="s">
        <v>13</v>
      </c>
      <c r="BG236" s="1" t="s">
        <v>3</v>
      </c>
      <c r="BH236" s="1" t="s">
        <v>13</v>
      </c>
      <c r="BI236" s="1" t="s">
        <v>12</v>
      </c>
      <c r="BJ236" s="1" t="s">
        <v>3</v>
      </c>
      <c r="BK236" s="1" t="s">
        <v>3</v>
      </c>
      <c r="BL236" s="1" t="s">
        <v>3</v>
      </c>
      <c r="BM236" s="1" t="s">
        <v>3</v>
      </c>
      <c r="BN236" s="1" t="s">
        <v>12</v>
      </c>
      <c r="BO236" s="1" t="s">
        <v>3</v>
      </c>
      <c r="BP236" s="1" t="s">
        <v>3</v>
      </c>
      <c r="BQ236" s="1"/>
      <c r="BR236" s="1"/>
      <c r="BS236" s="1"/>
      <c r="BT236" s="1"/>
      <c r="BU236" s="1"/>
      <c r="BV236" s="1"/>
      <c r="BW236" s="1"/>
      <c r="BX236" s="1">
        <v>0</v>
      </c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>
        <v>0</v>
      </c>
    </row>
    <row r="238" spans="1:245" x14ac:dyDescent="0.2">
      <c r="A238" s="2">
        <v>52</v>
      </c>
      <c r="B238" s="2">
        <f t="shared" ref="B238:G238" si="166">B245</f>
        <v>1</v>
      </c>
      <c r="C238" s="2">
        <f t="shared" si="166"/>
        <v>5</v>
      </c>
      <c r="D238" s="2">
        <f t="shared" si="166"/>
        <v>236</v>
      </c>
      <c r="E238" s="2">
        <f t="shared" si="166"/>
        <v>0</v>
      </c>
      <c r="F238" s="2" t="str">
        <f t="shared" si="166"/>
        <v>Новый подраздел</v>
      </c>
      <c r="G238" s="2" t="str">
        <f t="shared" si="166"/>
        <v>Установка скамеек</v>
      </c>
      <c r="H238" s="2"/>
      <c r="I238" s="2"/>
      <c r="J238" s="2"/>
      <c r="K238" s="2"/>
      <c r="L238" s="2"/>
      <c r="M238" s="2"/>
      <c r="N238" s="2"/>
      <c r="O238" s="2">
        <f t="shared" ref="O238:AT238" si="167">O245</f>
        <v>1070.97</v>
      </c>
      <c r="P238" s="2">
        <f t="shared" si="167"/>
        <v>1066.17</v>
      </c>
      <c r="Q238" s="2">
        <f t="shared" si="167"/>
        <v>1.19</v>
      </c>
      <c r="R238" s="2">
        <f t="shared" si="167"/>
        <v>0.18</v>
      </c>
      <c r="S238" s="2">
        <f t="shared" si="167"/>
        <v>3.61</v>
      </c>
      <c r="T238" s="2">
        <f t="shared" si="167"/>
        <v>0</v>
      </c>
      <c r="U238" s="2">
        <f t="shared" si="167"/>
        <v>0.57166499999999998</v>
      </c>
      <c r="V238" s="2">
        <f t="shared" si="167"/>
        <v>1.3499999999999998E-2</v>
      </c>
      <c r="W238" s="2">
        <f t="shared" si="167"/>
        <v>0</v>
      </c>
      <c r="X238" s="2">
        <f t="shared" si="167"/>
        <v>3.28</v>
      </c>
      <c r="Y238" s="2">
        <f t="shared" si="167"/>
        <v>1.6</v>
      </c>
      <c r="Z238" s="2">
        <f t="shared" si="167"/>
        <v>0</v>
      </c>
      <c r="AA238" s="2">
        <f t="shared" si="167"/>
        <v>0</v>
      </c>
      <c r="AB238" s="2">
        <f t="shared" si="167"/>
        <v>1070.97</v>
      </c>
      <c r="AC238" s="2">
        <f t="shared" si="167"/>
        <v>1066.17</v>
      </c>
      <c r="AD238" s="2">
        <f t="shared" si="167"/>
        <v>1.19</v>
      </c>
      <c r="AE238" s="2">
        <f t="shared" si="167"/>
        <v>0.18</v>
      </c>
      <c r="AF238" s="2">
        <f t="shared" si="167"/>
        <v>3.61</v>
      </c>
      <c r="AG238" s="2">
        <f t="shared" si="167"/>
        <v>0</v>
      </c>
      <c r="AH238" s="2">
        <f t="shared" si="167"/>
        <v>0.57166499999999998</v>
      </c>
      <c r="AI238" s="2">
        <f t="shared" si="167"/>
        <v>1.3499999999999998E-2</v>
      </c>
      <c r="AJ238" s="2">
        <f t="shared" si="167"/>
        <v>0</v>
      </c>
      <c r="AK238" s="2">
        <f t="shared" si="167"/>
        <v>3.28</v>
      </c>
      <c r="AL238" s="2">
        <f t="shared" si="167"/>
        <v>1.6</v>
      </c>
      <c r="AM238" s="2">
        <f t="shared" si="167"/>
        <v>0</v>
      </c>
      <c r="AN238" s="2">
        <f t="shared" si="167"/>
        <v>0</v>
      </c>
      <c r="AO238" s="2">
        <f t="shared" si="167"/>
        <v>0</v>
      </c>
      <c r="AP238" s="2">
        <f t="shared" si="167"/>
        <v>0</v>
      </c>
      <c r="AQ238" s="2">
        <f t="shared" si="167"/>
        <v>0</v>
      </c>
      <c r="AR238" s="2">
        <f t="shared" si="167"/>
        <v>1075.8499999999999</v>
      </c>
      <c r="AS238" s="2">
        <f t="shared" si="167"/>
        <v>1075.8499999999999</v>
      </c>
      <c r="AT238" s="2">
        <f t="shared" si="167"/>
        <v>0</v>
      </c>
      <c r="AU238" s="2">
        <f t="shared" ref="AU238:BZ238" si="168">AU245</f>
        <v>0</v>
      </c>
      <c r="AV238" s="2">
        <f t="shared" si="168"/>
        <v>1066.17</v>
      </c>
      <c r="AW238" s="2">
        <f t="shared" si="168"/>
        <v>1066.17</v>
      </c>
      <c r="AX238" s="2">
        <f t="shared" si="168"/>
        <v>0</v>
      </c>
      <c r="AY238" s="2">
        <f t="shared" si="168"/>
        <v>1066.17</v>
      </c>
      <c r="AZ238" s="2">
        <f t="shared" si="168"/>
        <v>0</v>
      </c>
      <c r="BA238" s="2">
        <f t="shared" si="168"/>
        <v>0</v>
      </c>
      <c r="BB238" s="2">
        <f t="shared" si="168"/>
        <v>0</v>
      </c>
      <c r="BC238" s="2">
        <f t="shared" si="168"/>
        <v>0</v>
      </c>
      <c r="BD238" s="2">
        <f t="shared" si="168"/>
        <v>0</v>
      </c>
      <c r="BE238" s="2">
        <f t="shared" si="168"/>
        <v>0</v>
      </c>
      <c r="BF238" s="2">
        <f t="shared" si="168"/>
        <v>0</v>
      </c>
      <c r="BG238" s="2">
        <f t="shared" si="168"/>
        <v>0</v>
      </c>
      <c r="BH238" s="2">
        <f t="shared" si="168"/>
        <v>0</v>
      </c>
      <c r="BI238" s="2">
        <f t="shared" si="168"/>
        <v>0</v>
      </c>
      <c r="BJ238" s="2">
        <f t="shared" si="168"/>
        <v>0</v>
      </c>
      <c r="BK238" s="2">
        <f t="shared" si="168"/>
        <v>0</v>
      </c>
      <c r="BL238" s="2">
        <f t="shared" si="168"/>
        <v>0</v>
      </c>
      <c r="BM238" s="2">
        <f t="shared" si="168"/>
        <v>0</v>
      </c>
      <c r="BN238" s="2">
        <f t="shared" si="168"/>
        <v>0</v>
      </c>
      <c r="BO238" s="2">
        <f t="shared" si="168"/>
        <v>0</v>
      </c>
      <c r="BP238" s="2">
        <f t="shared" si="168"/>
        <v>0</v>
      </c>
      <c r="BQ238" s="2">
        <f t="shared" si="168"/>
        <v>0</v>
      </c>
      <c r="BR238" s="2">
        <f t="shared" si="168"/>
        <v>0</v>
      </c>
      <c r="BS238" s="2">
        <f t="shared" si="168"/>
        <v>0</v>
      </c>
      <c r="BT238" s="2">
        <f t="shared" si="168"/>
        <v>0</v>
      </c>
      <c r="BU238" s="2">
        <f t="shared" si="168"/>
        <v>0</v>
      </c>
      <c r="BV238" s="2">
        <f t="shared" si="168"/>
        <v>0</v>
      </c>
      <c r="BW238" s="2">
        <f t="shared" si="168"/>
        <v>0</v>
      </c>
      <c r="BX238" s="2">
        <f t="shared" si="168"/>
        <v>0</v>
      </c>
      <c r="BY238" s="2">
        <f t="shared" si="168"/>
        <v>0</v>
      </c>
      <c r="BZ238" s="2">
        <f t="shared" si="168"/>
        <v>0</v>
      </c>
      <c r="CA238" s="2">
        <f t="shared" ref="CA238:DF238" si="169">CA245</f>
        <v>1075.8499999999999</v>
      </c>
      <c r="CB238" s="2">
        <f t="shared" si="169"/>
        <v>1075.8499999999999</v>
      </c>
      <c r="CC238" s="2">
        <f t="shared" si="169"/>
        <v>0</v>
      </c>
      <c r="CD238" s="2">
        <f t="shared" si="169"/>
        <v>0</v>
      </c>
      <c r="CE238" s="2">
        <f t="shared" si="169"/>
        <v>1066.17</v>
      </c>
      <c r="CF238" s="2">
        <f t="shared" si="169"/>
        <v>1066.17</v>
      </c>
      <c r="CG238" s="2">
        <f t="shared" si="169"/>
        <v>0</v>
      </c>
      <c r="CH238" s="2">
        <f t="shared" si="169"/>
        <v>1066.17</v>
      </c>
      <c r="CI238" s="2">
        <f t="shared" si="169"/>
        <v>0</v>
      </c>
      <c r="CJ238" s="2">
        <f t="shared" si="169"/>
        <v>0</v>
      </c>
      <c r="CK238" s="2">
        <f t="shared" si="169"/>
        <v>0</v>
      </c>
      <c r="CL238" s="2">
        <f t="shared" si="169"/>
        <v>0</v>
      </c>
      <c r="CM238" s="2">
        <f t="shared" si="169"/>
        <v>0</v>
      </c>
      <c r="CN238" s="2">
        <f t="shared" si="169"/>
        <v>0</v>
      </c>
      <c r="CO238" s="2">
        <f t="shared" si="169"/>
        <v>0</v>
      </c>
      <c r="CP238" s="2">
        <f t="shared" si="169"/>
        <v>0</v>
      </c>
      <c r="CQ238" s="2">
        <f t="shared" si="169"/>
        <v>0</v>
      </c>
      <c r="CR238" s="2">
        <f t="shared" si="169"/>
        <v>0</v>
      </c>
      <c r="CS238" s="2">
        <f t="shared" si="169"/>
        <v>0</v>
      </c>
      <c r="CT238" s="2">
        <f t="shared" si="169"/>
        <v>0</v>
      </c>
      <c r="CU238" s="2">
        <f t="shared" si="169"/>
        <v>0</v>
      </c>
      <c r="CV238" s="2">
        <f t="shared" si="169"/>
        <v>0</v>
      </c>
      <c r="CW238" s="2">
        <f t="shared" si="169"/>
        <v>0</v>
      </c>
      <c r="CX238" s="2">
        <f t="shared" si="169"/>
        <v>0</v>
      </c>
      <c r="CY238" s="2">
        <f t="shared" si="169"/>
        <v>0</v>
      </c>
      <c r="CZ238" s="2">
        <f t="shared" si="169"/>
        <v>0</v>
      </c>
      <c r="DA238" s="2">
        <f t="shared" si="169"/>
        <v>0</v>
      </c>
      <c r="DB238" s="2">
        <f t="shared" si="169"/>
        <v>0</v>
      </c>
      <c r="DC238" s="2">
        <f t="shared" si="169"/>
        <v>0</v>
      </c>
      <c r="DD238" s="2">
        <f t="shared" si="169"/>
        <v>0</v>
      </c>
      <c r="DE238" s="2">
        <f t="shared" si="169"/>
        <v>0</v>
      </c>
      <c r="DF238" s="2">
        <f t="shared" si="169"/>
        <v>0</v>
      </c>
      <c r="DG238" s="3">
        <f t="shared" ref="DG238:EL238" si="170">DG245</f>
        <v>0</v>
      </c>
      <c r="DH238" s="3">
        <f t="shared" si="170"/>
        <v>0</v>
      </c>
      <c r="DI238" s="3">
        <f t="shared" si="170"/>
        <v>0</v>
      </c>
      <c r="DJ238" s="3">
        <f t="shared" si="170"/>
        <v>0</v>
      </c>
      <c r="DK238" s="3">
        <f t="shared" si="170"/>
        <v>0</v>
      </c>
      <c r="DL238" s="3">
        <f t="shared" si="170"/>
        <v>0</v>
      </c>
      <c r="DM238" s="3">
        <f t="shared" si="170"/>
        <v>0</v>
      </c>
      <c r="DN238" s="3">
        <f t="shared" si="170"/>
        <v>0</v>
      </c>
      <c r="DO238" s="3">
        <f t="shared" si="170"/>
        <v>0</v>
      </c>
      <c r="DP238" s="3">
        <f t="shared" si="170"/>
        <v>0</v>
      </c>
      <c r="DQ238" s="3">
        <f t="shared" si="170"/>
        <v>0</v>
      </c>
      <c r="DR238" s="3">
        <f t="shared" si="170"/>
        <v>0</v>
      </c>
      <c r="DS238" s="3">
        <f t="shared" si="170"/>
        <v>0</v>
      </c>
      <c r="DT238" s="3">
        <f t="shared" si="170"/>
        <v>0</v>
      </c>
      <c r="DU238" s="3">
        <f t="shared" si="170"/>
        <v>0</v>
      </c>
      <c r="DV238" s="3">
        <f t="shared" si="170"/>
        <v>0</v>
      </c>
      <c r="DW238" s="3">
        <f t="shared" si="170"/>
        <v>0</v>
      </c>
      <c r="DX238" s="3">
        <f t="shared" si="170"/>
        <v>0</v>
      </c>
      <c r="DY238" s="3">
        <f t="shared" si="170"/>
        <v>0</v>
      </c>
      <c r="DZ238" s="3">
        <f t="shared" si="170"/>
        <v>0</v>
      </c>
      <c r="EA238" s="3">
        <f t="shared" si="170"/>
        <v>0</v>
      </c>
      <c r="EB238" s="3">
        <f t="shared" si="170"/>
        <v>0</v>
      </c>
      <c r="EC238" s="3">
        <f t="shared" si="170"/>
        <v>0</v>
      </c>
      <c r="ED238" s="3">
        <f t="shared" si="170"/>
        <v>0</v>
      </c>
      <c r="EE238" s="3">
        <f t="shared" si="170"/>
        <v>0</v>
      </c>
      <c r="EF238" s="3">
        <f t="shared" si="170"/>
        <v>0</v>
      </c>
      <c r="EG238" s="3">
        <f t="shared" si="170"/>
        <v>0</v>
      </c>
      <c r="EH238" s="3">
        <f t="shared" si="170"/>
        <v>0</v>
      </c>
      <c r="EI238" s="3">
        <f t="shared" si="170"/>
        <v>0</v>
      </c>
      <c r="EJ238" s="3">
        <f t="shared" si="170"/>
        <v>0</v>
      </c>
      <c r="EK238" s="3">
        <f t="shared" si="170"/>
        <v>0</v>
      </c>
      <c r="EL238" s="3">
        <f t="shared" si="170"/>
        <v>0</v>
      </c>
      <c r="EM238" s="3">
        <f t="shared" ref="EM238:FR238" si="171">EM245</f>
        <v>0</v>
      </c>
      <c r="EN238" s="3">
        <f t="shared" si="171"/>
        <v>0</v>
      </c>
      <c r="EO238" s="3">
        <f t="shared" si="171"/>
        <v>0</v>
      </c>
      <c r="EP238" s="3">
        <f t="shared" si="171"/>
        <v>0</v>
      </c>
      <c r="EQ238" s="3">
        <f t="shared" si="171"/>
        <v>0</v>
      </c>
      <c r="ER238" s="3">
        <f t="shared" si="171"/>
        <v>0</v>
      </c>
      <c r="ES238" s="3">
        <f t="shared" si="171"/>
        <v>0</v>
      </c>
      <c r="ET238" s="3">
        <f t="shared" si="171"/>
        <v>0</v>
      </c>
      <c r="EU238" s="3">
        <f t="shared" si="171"/>
        <v>0</v>
      </c>
      <c r="EV238" s="3">
        <f t="shared" si="171"/>
        <v>0</v>
      </c>
      <c r="EW238" s="3">
        <f t="shared" si="171"/>
        <v>0</v>
      </c>
      <c r="EX238" s="3">
        <f t="shared" si="171"/>
        <v>0</v>
      </c>
      <c r="EY238" s="3">
        <f t="shared" si="171"/>
        <v>0</v>
      </c>
      <c r="EZ238" s="3">
        <f t="shared" si="171"/>
        <v>0</v>
      </c>
      <c r="FA238" s="3">
        <f t="shared" si="171"/>
        <v>0</v>
      </c>
      <c r="FB238" s="3">
        <f t="shared" si="171"/>
        <v>0</v>
      </c>
      <c r="FC238" s="3">
        <f t="shared" si="171"/>
        <v>0</v>
      </c>
      <c r="FD238" s="3">
        <f t="shared" si="171"/>
        <v>0</v>
      </c>
      <c r="FE238" s="3">
        <f t="shared" si="171"/>
        <v>0</v>
      </c>
      <c r="FF238" s="3">
        <f t="shared" si="171"/>
        <v>0</v>
      </c>
      <c r="FG238" s="3">
        <f t="shared" si="171"/>
        <v>0</v>
      </c>
      <c r="FH238" s="3">
        <f t="shared" si="171"/>
        <v>0</v>
      </c>
      <c r="FI238" s="3">
        <f t="shared" si="171"/>
        <v>0</v>
      </c>
      <c r="FJ238" s="3">
        <f t="shared" si="171"/>
        <v>0</v>
      </c>
      <c r="FK238" s="3">
        <f t="shared" si="171"/>
        <v>0</v>
      </c>
      <c r="FL238" s="3">
        <f t="shared" si="171"/>
        <v>0</v>
      </c>
      <c r="FM238" s="3">
        <f t="shared" si="171"/>
        <v>0</v>
      </c>
      <c r="FN238" s="3">
        <f t="shared" si="171"/>
        <v>0</v>
      </c>
      <c r="FO238" s="3">
        <f t="shared" si="171"/>
        <v>0</v>
      </c>
      <c r="FP238" s="3">
        <f t="shared" si="171"/>
        <v>0</v>
      </c>
      <c r="FQ238" s="3">
        <f t="shared" si="171"/>
        <v>0</v>
      </c>
      <c r="FR238" s="3">
        <f t="shared" si="171"/>
        <v>0</v>
      </c>
      <c r="FS238" s="3">
        <f t="shared" ref="FS238:GX238" si="172">FS245</f>
        <v>0</v>
      </c>
      <c r="FT238" s="3">
        <f t="shared" si="172"/>
        <v>0</v>
      </c>
      <c r="FU238" s="3">
        <f t="shared" si="172"/>
        <v>0</v>
      </c>
      <c r="FV238" s="3">
        <f t="shared" si="172"/>
        <v>0</v>
      </c>
      <c r="FW238" s="3">
        <f t="shared" si="172"/>
        <v>0</v>
      </c>
      <c r="FX238" s="3">
        <f t="shared" si="172"/>
        <v>0</v>
      </c>
      <c r="FY238" s="3">
        <f t="shared" si="172"/>
        <v>0</v>
      </c>
      <c r="FZ238" s="3">
        <f t="shared" si="172"/>
        <v>0</v>
      </c>
      <c r="GA238" s="3">
        <f t="shared" si="172"/>
        <v>0</v>
      </c>
      <c r="GB238" s="3">
        <f t="shared" si="172"/>
        <v>0</v>
      </c>
      <c r="GC238" s="3">
        <f t="shared" si="172"/>
        <v>0</v>
      </c>
      <c r="GD238" s="3">
        <f t="shared" si="172"/>
        <v>0</v>
      </c>
      <c r="GE238" s="3">
        <f t="shared" si="172"/>
        <v>0</v>
      </c>
      <c r="GF238" s="3">
        <f t="shared" si="172"/>
        <v>0</v>
      </c>
      <c r="GG238" s="3">
        <f t="shared" si="172"/>
        <v>0</v>
      </c>
      <c r="GH238" s="3">
        <f t="shared" si="172"/>
        <v>0</v>
      </c>
      <c r="GI238" s="3">
        <f t="shared" si="172"/>
        <v>0</v>
      </c>
      <c r="GJ238" s="3">
        <f t="shared" si="172"/>
        <v>0</v>
      </c>
      <c r="GK238" s="3">
        <f t="shared" si="172"/>
        <v>0</v>
      </c>
      <c r="GL238" s="3">
        <f t="shared" si="172"/>
        <v>0</v>
      </c>
      <c r="GM238" s="3">
        <f t="shared" si="172"/>
        <v>0</v>
      </c>
      <c r="GN238" s="3">
        <f t="shared" si="172"/>
        <v>0</v>
      </c>
      <c r="GO238" s="3">
        <f t="shared" si="172"/>
        <v>0</v>
      </c>
      <c r="GP238" s="3">
        <f t="shared" si="172"/>
        <v>0</v>
      </c>
      <c r="GQ238" s="3">
        <f t="shared" si="172"/>
        <v>0</v>
      </c>
      <c r="GR238" s="3">
        <f t="shared" si="172"/>
        <v>0</v>
      </c>
      <c r="GS238" s="3">
        <f t="shared" si="172"/>
        <v>0</v>
      </c>
      <c r="GT238" s="3">
        <f t="shared" si="172"/>
        <v>0</v>
      </c>
      <c r="GU238" s="3">
        <f t="shared" si="172"/>
        <v>0</v>
      </c>
      <c r="GV238" s="3">
        <f t="shared" si="172"/>
        <v>0</v>
      </c>
      <c r="GW238" s="3">
        <f t="shared" si="172"/>
        <v>0</v>
      </c>
      <c r="GX238" s="3">
        <f t="shared" si="172"/>
        <v>0</v>
      </c>
    </row>
    <row r="240" spans="1:245" x14ac:dyDescent="0.2">
      <c r="A240">
        <v>17</v>
      </c>
      <c r="B240">
        <v>1</v>
      </c>
      <c r="C240">
        <f>ROW(SmtRes!A119)</f>
        <v>119</v>
      </c>
      <c r="D240">
        <f>ROW(EtalonRes!A118)</f>
        <v>118</v>
      </c>
      <c r="E240" t="s">
        <v>230</v>
      </c>
      <c r="F240" t="s">
        <v>211</v>
      </c>
      <c r="G240" t="s">
        <v>212</v>
      </c>
      <c r="H240" t="s">
        <v>185</v>
      </c>
      <c r="I240">
        <f>ROUND(I241*4*0.2*0.2*0.72/100,4)</f>
        <v>1.1999999999999999E-3</v>
      </c>
      <c r="J240">
        <v>0</v>
      </c>
      <c r="O240">
        <f>ROUND(CP240,2)</f>
        <v>2.4500000000000002</v>
      </c>
      <c r="P240">
        <f>ROUND(CQ240*I240,2)</f>
        <v>0</v>
      </c>
      <c r="Q240">
        <f>ROUND(CR240*I240,2)</f>
        <v>0</v>
      </c>
      <c r="R240">
        <f>ROUND(CS240*I240,2)</f>
        <v>0</v>
      </c>
      <c r="S240">
        <f>ROUND(CT240*I240,2)</f>
        <v>2.4500000000000002</v>
      </c>
      <c r="T240">
        <f>ROUND(CU240*I240,2)</f>
        <v>0</v>
      </c>
      <c r="U240">
        <f>CV240*I240</f>
        <v>0.38639999999999997</v>
      </c>
      <c r="V240">
        <f>CW240*I240</f>
        <v>0</v>
      </c>
      <c r="W240">
        <f>ROUND(CX240*I240,2)</f>
        <v>0</v>
      </c>
      <c r="X240">
        <f t="shared" ref="X240:Y243" si="173">ROUND(CY240,2)</f>
        <v>1.96</v>
      </c>
      <c r="Y240">
        <f t="shared" si="173"/>
        <v>0.93</v>
      </c>
      <c r="AA240">
        <v>39201625</v>
      </c>
      <c r="AB240">
        <f>ROUND((AC240+AD240+AF240),2)</f>
        <v>2044.7</v>
      </c>
      <c r="AC240">
        <f>ROUND((ES240),2)</f>
        <v>0</v>
      </c>
      <c r="AD240">
        <f>ROUND(((((ET240*1.25))-((EU240*1.25)))+AE240),2)</f>
        <v>0</v>
      </c>
      <c r="AE240">
        <f>ROUND(((EU240*1.25)),2)</f>
        <v>0</v>
      </c>
      <c r="AF240">
        <f>ROUND(((EV240*1.15)),2)</f>
        <v>2044.7</v>
      </c>
      <c r="AG240">
        <f>ROUND((AP240),2)</f>
        <v>0</v>
      </c>
      <c r="AH240">
        <f>((EW240*1.15))</f>
        <v>322</v>
      </c>
      <c r="AI240">
        <f>((EX240*1.25))</f>
        <v>0</v>
      </c>
      <c r="AJ240">
        <f>(AS240)</f>
        <v>0</v>
      </c>
      <c r="AK240">
        <v>1778</v>
      </c>
      <c r="AL240">
        <v>0</v>
      </c>
      <c r="AM240">
        <v>0</v>
      </c>
      <c r="AN240">
        <v>0</v>
      </c>
      <c r="AO240">
        <v>1778</v>
      </c>
      <c r="AP240">
        <v>0</v>
      </c>
      <c r="AQ240">
        <v>280</v>
      </c>
      <c r="AR240">
        <v>0</v>
      </c>
      <c r="AS240">
        <v>0</v>
      </c>
      <c r="AT240">
        <v>80</v>
      </c>
      <c r="AU240">
        <v>38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1</v>
      </c>
      <c r="BJ240" t="s">
        <v>213</v>
      </c>
      <c r="BM240">
        <v>1003</v>
      </c>
      <c r="BN240">
        <v>0</v>
      </c>
      <c r="BO240" t="s">
        <v>3</v>
      </c>
      <c r="BP240">
        <v>0</v>
      </c>
      <c r="BQ240">
        <v>2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80</v>
      </c>
      <c r="CA240">
        <v>45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>(P240+Q240+S240)</f>
        <v>2.4500000000000002</v>
      </c>
      <c r="CQ240">
        <f>AC240*BC240</f>
        <v>0</v>
      </c>
      <c r="CR240">
        <f>AD240*BB240</f>
        <v>0</v>
      </c>
      <c r="CS240">
        <f>AE240*BS240</f>
        <v>0</v>
      </c>
      <c r="CT240">
        <f>AF240*BA240</f>
        <v>2044.7</v>
      </c>
      <c r="CU240">
        <f t="shared" ref="CU240:CX243" si="174">AG240</f>
        <v>0</v>
      </c>
      <c r="CV240">
        <f t="shared" si="174"/>
        <v>322</v>
      </c>
      <c r="CW240">
        <f t="shared" si="174"/>
        <v>0</v>
      </c>
      <c r="CX240">
        <f t="shared" si="174"/>
        <v>0</v>
      </c>
      <c r="CY240">
        <f>(((S240+R240)*ROUND((FX240*IF((0=0),(IF(0,1,1)*1*IF(1,1,1)),1)),0))/100)</f>
        <v>1.96</v>
      </c>
      <c r="CZ240">
        <f>(((S240+R240)*ROUND((FY240*IF((0=0),(1*IF(1,1,1)),1)),0))/100)</f>
        <v>0.93100000000000005</v>
      </c>
      <c r="DC240" t="s">
        <v>3</v>
      </c>
      <c r="DD240" t="s">
        <v>3</v>
      </c>
      <c r="DE240" t="s">
        <v>12</v>
      </c>
      <c r="DF240" t="s">
        <v>12</v>
      </c>
      <c r="DG240" t="s">
        <v>13</v>
      </c>
      <c r="DH240" t="s">
        <v>3</v>
      </c>
      <c r="DI240" t="s">
        <v>13</v>
      </c>
      <c r="DJ240" t="s">
        <v>12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185</v>
      </c>
      <c r="DW240" t="s">
        <v>185</v>
      </c>
      <c r="DX240">
        <v>1</v>
      </c>
      <c r="EE240">
        <v>39190872</v>
      </c>
      <c r="EF240">
        <v>2</v>
      </c>
      <c r="EG240" t="s">
        <v>31</v>
      </c>
      <c r="EH240">
        <v>0</v>
      </c>
      <c r="EI240" t="s">
        <v>3</v>
      </c>
      <c r="EJ240">
        <v>1</v>
      </c>
      <c r="EK240">
        <v>1003</v>
      </c>
      <c r="EL240" t="s">
        <v>187</v>
      </c>
      <c r="EM240" t="s">
        <v>46</v>
      </c>
      <c r="EO240" t="s">
        <v>3</v>
      </c>
      <c r="EQ240">
        <v>131072</v>
      </c>
      <c r="ER240">
        <v>1778</v>
      </c>
      <c r="ES240">
        <v>0</v>
      </c>
      <c r="ET240">
        <v>0</v>
      </c>
      <c r="EU240">
        <v>0</v>
      </c>
      <c r="EV240">
        <v>1778</v>
      </c>
      <c r="EW240">
        <v>280</v>
      </c>
      <c r="EX240">
        <v>0</v>
      </c>
      <c r="EY240">
        <v>0</v>
      </c>
      <c r="FQ240">
        <v>0</v>
      </c>
      <c r="FR240">
        <f>ROUND(IF(AND(BH240=3,BI240=3),P240,0),2)</f>
        <v>0</v>
      </c>
      <c r="FS240">
        <v>0</v>
      </c>
      <c r="FU240" t="s">
        <v>34</v>
      </c>
      <c r="FX240">
        <v>80</v>
      </c>
      <c r="FY240">
        <v>38.25</v>
      </c>
      <c r="GA240" t="s">
        <v>3</v>
      </c>
      <c r="GD240">
        <v>1</v>
      </c>
      <c r="GF240">
        <v>995948563</v>
      </c>
      <c r="GG240">
        <v>2</v>
      </c>
      <c r="GH240">
        <v>0</v>
      </c>
      <c r="GI240">
        <v>0</v>
      </c>
      <c r="GJ240">
        <v>0</v>
      </c>
      <c r="GK240">
        <v>0</v>
      </c>
      <c r="GL240">
        <f>ROUND(IF(AND(BH240=3,BI240=3,FS240&lt;&gt;0),P240,0),2)</f>
        <v>0</v>
      </c>
      <c r="GM240">
        <f>ROUND(O240+X240+Y240,2)+GX240</f>
        <v>5.34</v>
      </c>
      <c r="GN240">
        <f>IF(OR(BI240=0,BI240=1),ROUND(O240+X240+Y240,2),0)</f>
        <v>5.34</v>
      </c>
      <c r="GO240">
        <f>IF(BI240=2,ROUND(O240+X240+Y240,2),0)</f>
        <v>0</v>
      </c>
      <c r="GP240">
        <f>IF(BI240=4,ROUND(O240+X240+Y240,2)+GX240,0)</f>
        <v>0</v>
      </c>
      <c r="GR240">
        <v>0</v>
      </c>
      <c r="GS240">
        <v>0</v>
      </c>
      <c r="GT240">
        <v>0</v>
      </c>
      <c r="GU240" t="s">
        <v>3</v>
      </c>
      <c r="GV240">
        <f>ROUND((GT240),2)</f>
        <v>0</v>
      </c>
      <c r="GW240">
        <v>1</v>
      </c>
      <c r="GX240">
        <f>ROUND(HC240*I240,2)</f>
        <v>0</v>
      </c>
      <c r="HA240">
        <v>0</v>
      </c>
      <c r="HB240">
        <v>0</v>
      </c>
      <c r="HC240">
        <f>GV240*GW240</f>
        <v>0</v>
      </c>
      <c r="IK240">
        <v>0</v>
      </c>
    </row>
    <row r="241" spans="1:245" x14ac:dyDescent="0.2">
      <c r="A241">
        <v>17</v>
      </c>
      <c r="B241">
        <v>1</v>
      </c>
      <c r="E241" t="s">
        <v>231</v>
      </c>
      <c r="F241" t="s">
        <v>215</v>
      </c>
      <c r="G241" t="s">
        <v>589</v>
      </c>
      <c r="H241" t="s">
        <v>216</v>
      </c>
      <c r="I241">
        <f>ROUND(1,4)</f>
        <v>1</v>
      </c>
      <c r="J241">
        <v>0</v>
      </c>
      <c r="O241">
        <f>ROUND(CP241,2)</f>
        <v>1035.32</v>
      </c>
      <c r="P241">
        <f>ROUND(CQ241*I241,2)</f>
        <v>1035.32</v>
      </c>
      <c r="Q241">
        <f>ROUND(CR241*I241,2)</f>
        <v>0</v>
      </c>
      <c r="R241">
        <f>ROUND(CS241*I241,2)</f>
        <v>0</v>
      </c>
      <c r="S241">
        <f>ROUND(CT241*I241,2)</f>
        <v>0</v>
      </c>
      <c r="T241">
        <f>ROUND(CU241*I241,2)</f>
        <v>0</v>
      </c>
      <c r="U241">
        <f>CV241*I241</f>
        <v>0</v>
      </c>
      <c r="V241">
        <f>CW241*I241</f>
        <v>0</v>
      </c>
      <c r="W241">
        <f>ROUND(CX241*I241,2)</f>
        <v>0</v>
      </c>
      <c r="X241">
        <f t="shared" si="173"/>
        <v>0</v>
      </c>
      <c r="Y241">
        <f t="shared" si="173"/>
        <v>0</v>
      </c>
      <c r="AA241">
        <v>39201625</v>
      </c>
      <c r="AB241">
        <f>ROUND((AC241+AD241+AF241),2)</f>
        <v>1035.32</v>
      </c>
      <c r="AC241">
        <f>ROUND((ES241),2)</f>
        <v>1035.32</v>
      </c>
      <c r="AD241">
        <f>ROUND((((ET241)-(EU241))+AE241),2)</f>
        <v>0</v>
      </c>
      <c r="AE241">
        <f>ROUND((EU241),2)</f>
        <v>0</v>
      </c>
      <c r="AF241">
        <f>ROUND((EV241),2)</f>
        <v>0</v>
      </c>
      <c r="AG241">
        <f>ROUND((AP241),2)</f>
        <v>0</v>
      </c>
      <c r="AH241">
        <f>(EW241)</f>
        <v>0</v>
      </c>
      <c r="AI241">
        <f>(EX241)</f>
        <v>0</v>
      </c>
      <c r="AJ241">
        <f>(AS241)</f>
        <v>0</v>
      </c>
      <c r="AK241">
        <v>1035.32</v>
      </c>
      <c r="AL241">
        <v>1035.32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3</v>
      </c>
      <c r="BI241">
        <v>1</v>
      </c>
      <c r="BJ241" t="s">
        <v>3</v>
      </c>
      <c r="BM241">
        <v>1100</v>
      </c>
      <c r="BN241">
        <v>0</v>
      </c>
      <c r="BO241" t="s">
        <v>3</v>
      </c>
      <c r="BP241">
        <v>0</v>
      </c>
      <c r="BQ241">
        <v>8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0</v>
      </c>
      <c r="CA241">
        <v>0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>(P241+Q241+S241)</f>
        <v>1035.32</v>
      </c>
      <c r="CQ241">
        <f>AC241*BC241</f>
        <v>1035.32</v>
      </c>
      <c r="CR241">
        <f>AD241*BB241</f>
        <v>0</v>
      </c>
      <c r="CS241">
        <f>AE241*BS241</f>
        <v>0</v>
      </c>
      <c r="CT241">
        <f>AF241*BA241</f>
        <v>0</v>
      </c>
      <c r="CU241">
        <f t="shared" si="174"/>
        <v>0</v>
      </c>
      <c r="CV241">
        <f t="shared" si="174"/>
        <v>0</v>
      </c>
      <c r="CW241">
        <f t="shared" si="174"/>
        <v>0</v>
      </c>
      <c r="CX241">
        <f t="shared" si="174"/>
        <v>0</v>
      </c>
      <c r="CY241">
        <f>(((S241+R241)*0)/100)</f>
        <v>0</v>
      </c>
      <c r="CZ241">
        <f>(((S241+R241)*0)/100)</f>
        <v>0</v>
      </c>
      <c r="DC241" t="s">
        <v>3</v>
      </c>
      <c r="DD241" t="s">
        <v>3</v>
      </c>
      <c r="DE241" t="s">
        <v>3</v>
      </c>
      <c r="DF241" t="s">
        <v>3</v>
      </c>
      <c r="DG241" t="s">
        <v>3</v>
      </c>
      <c r="DH241" t="s">
        <v>3</v>
      </c>
      <c r="DI241" t="s">
        <v>3</v>
      </c>
      <c r="DJ241" t="s">
        <v>3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216</v>
      </c>
      <c r="DW241" t="s">
        <v>216</v>
      </c>
      <c r="DX241">
        <v>1</v>
      </c>
      <c r="EE241">
        <v>39190877</v>
      </c>
      <c r="EF241">
        <v>8</v>
      </c>
      <c r="EG241" t="s">
        <v>217</v>
      </c>
      <c r="EH241">
        <v>0</v>
      </c>
      <c r="EI241" t="s">
        <v>3</v>
      </c>
      <c r="EJ241">
        <v>1</v>
      </c>
      <c r="EK241">
        <v>1100</v>
      </c>
      <c r="EL241" t="s">
        <v>218</v>
      </c>
      <c r="EM241" t="s">
        <v>219</v>
      </c>
      <c r="EO241" t="s">
        <v>3</v>
      </c>
      <c r="EQ241">
        <v>131072</v>
      </c>
      <c r="ER241">
        <v>1035.32</v>
      </c>
      <c r="ES241">
        <v>1035.32</v>
      </c>
      <c r="ET241">
        <v>0</v>
      </c>
      <c r="EU241">
        <v>0</v>
      </c>
      <c r="EV241">
        <v>0</v>
      </c>
      <c r="EW241">
        <v>0</v>
      </c>
      <c r="EX241">
        <v>0</v>
      </c>
      <c r="EY241">
        <v>0</v>
      </c>
      <c r="EZ241">
        <v>5</v>
      </c>
      <c r="FC241">
        <v>1</v>
      </c>
      <c r="FD241">
        <v>18</v>
      </c>
      <c r="FF241">
        <v>10000</v>
      </c>
      <c r="FQ241">
        <v>0</v>
      </c>
      <c r="FR241">
        <f>ROUND(IF(AND(BH241=3,BI241=3),P241,0),2)</f>
        <v>0</v>
      </c>
      <c r="FS241">
        <v>0</v>
      </c>
      <c r="FX241">
        <v>0</v>
      </c>
      <c r="FY241">
        <v>0</v>
      </c>
      <c r="GA241" t="s">
        <v>232</v>
      </c>
      <c r="GD241">
        <v>1</v>
      </c>
      <c r="GF241">
        <v>-1462058704</v>
      </c>
      <c r="GG241">
        <v>2</v>
      </c>
      <c r="GH241">
        <v>3</v>
      </c>
      <c r="GI241">
        <v>3</v>
      </c>
      <c r="GJ241">
        <v>0</v>
      </c>
      <c r="GK241">
        <v>0</v>
      </c>
      <c r="GL241">
        <f>ROUND(IF(AND(BH241=3,BI241=3,FS241&lt;&gt;0),P241,0),2)</f>
        <v>0</v>
      </c>
      <c r="GM241">
        <f>ROUND(O241+X241+Y241,2)+GX241</f>
        <v>1035.32</v>
      </c>
      <c r="GN241">
        <f>IF(OR(BI241=0,BI241=1),ROUND(O241+X241+Y241,2),0)</f>
        <v>1035.32</v>
      </c>
      <c r="GO241">
        <f>IF(BI241=2,ROUND(O241+X241+Y241,2),0)</f>
        <v>0</v>
      </c>
      <c r="GP241">
        <f>IF(BI241=4,ROUND(O241+X241+Y241,2)+GX241,0)</f>
        <v>0</v>
      </c>
      <c r="GR241">
        <v>1</v>
      </c>
      <c r="GS241">
        <v>1</v>
      </c>
      <c r="GT241">
        <v>0</v>
      </c>
      <c r="GU241" t="s">
        <v>3</v>
      </c>
      <c r="GV241">
        <f>ROUND((GT241),2)</f>
        <v>0</v>
      </c>
      <c r="GW241">
        <v>1</v>
      </c>
      <c r="GX241">
        <f>ROUND(HC241*I241,2)</f>
        <v>0</v>
      </c>
      <c r="HA241">
        <v>0</v>
      </c>
      <c r="HB241">
        <v>0</v>
      </c>
      <c r="HC241">
        <f>GV241*GW241</f>
        <v>0</v>
      </c>
      <c r="IK241">
        <v>0</v>
      </c>
    </row>
    <row r="242" spans="1:245" x14ac:dyDescent="0.2">
      <c r="A242">
        <v>17</v>
      </c>
      <c r="B242">
        <v>1</v>
      </c>
      <c r="C242">
        <f>ROW(SmtRes!A127)</f>
        <v>127</v>
      </c>
      <c r="D242">
        <f>ROW(EtalonRes!A126)</f>
        <v>126</v>
      </c>
      <c r="E242" t="s">
        <v>233</v>
      </c>
      <c r="F242" t="s">
        <v>222</v>
      </c>
      <c r="G242" t="s">
        <v>223</v>
      </c>
      <c r="H242" t="s">
        <v>224</v>
      </c>
      <c r="I242">
        <f>ROUND((I240*100/2)/100,4)</f>
        <v>5.9999999999999995E-4</v>
      </c>
      <c r="J242">
        <v>0</v>
      </c>
      <c r="O242">
        <f>ROUND(CP242,2)</f>
        <v>32.83</v>
      </c>
      <c r="P242">
        <f>ROUND(CQ242*I242,2)</f>
        <v>30.85</v>
      </c>
      <c r="Q242">
        <f>ROUND(CR242*I242,2)</f>
        <v>1.19</v>
      </c>
      <c r="R242">
        <f>ROUND(CS242*I242,2)</f>
        <v>0.18</v>
      </c>
      <c r="S242">
        <f>ROUND(CT242*I242,2)</f>
        <v>0.79</v>
      </c>
      <c r="T242">
        <f>ROUND(CU242*I242,2)</f>
        <v>0</v>
      </c>
      <c r="U242">
        <f>CV242*I242</f>
        <v>0.12419999999999998</v>
      </c>
      <c r="V242">
        <f>CW242*I242</f>
        <v>1.3499999999999998E-2</v>
      </c>
      <c r="W242">
        <f>ROUND(CX242*I242,2)</f>
        <v>0</v>
      </c>
      <c r="X242">
        <f t="shared" si="173"/>
        <v>1.02</v>
      </c>
      <c r="Y242">
        <f t="shared" si="173"/>
        <v>0.53</v>
      </c>
      <c r="AA242">
        <v>39201625</v>
      </c>
      <c r="AB242">
        <f>ROUND((AC242+AD242+AF242),2)</f>
        <v>54712.6</v>
      </c>
      <c r="AC242">
        <f>ROUND((ES242),2)</f>
        <v>51415.49</v>
      </c>
      <c r="AD242">
        <f>ROUND(((((ET242*1.25))-((EU242*1.25)))+AE242),2)</f>
        <v>1982.66</v>
      </c>
      <c r="AE242">
        <f>ROUND(((EU242*1.25)),2)</f>
        <v>298.35000000000002</v>
      </c>
      <c r="AF242">
        <f>ROUND(((EV242*1.15)),2)</f>
        <v>1314.45</v>
      </c>
      <c r="AG242">
        <f>ROUND((AP242),2)</f>
        <v>0</v>
      </c>
      <c r="AH242">
        <f>((EW242*1.15))</f>
        <v>206.99999999999997</v>
      </c>
      <c r="AI242">
        <f>((EX242*1.25))</f>
        <v>22.5</v>
      </c>
      <c r="AJ242">
        <f>(AS242)</f>
        <v>0</v>
      </c>
      <c r="AK242">
        <v>54144.62</v>
      </c>
      <c r="AL242">
        <v>51415.49</v>
      </c>
      <c r="AM242">
        <v>1586.13</v>
      </c>
      <c r="AN242">
        <v>238.68</v>
      </c>
      <c r="AO242">
        <v>1143</v>
      </c>
      <c r="AP242">
        <v>0</v>
      </c>
      <c r="AQ242">
        <v>180</v>
      </c>
      <c r="AR242">
        <v>18</v>
      </c>
      <c r="AS242">
        <v>0</v>
      </c>
      <c r="AT242">
        <v>105</v>
      </c>
      <c r="AU242">
        <v>55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1</v>
      </c>
      <c r="BJ242" t="s">
        <v>225</v>
      </c>
      <c r="BM242">
        <v>6001</v>
      </c>
      <c r="BN242">
        <v>0</v>
      </c>
      <c r="BO242" t="s">
        <v>3</v>
      </c>
      <c r="BP242">
        <v>0</v>
      </c>
      <c r="BQ242">
        <v>2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105</v>
      </c>
      <c r="CA242">
        <v>65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>(P242+Q242+S242)</f>
        <v>32.83</v>
      </c>
      <c r="CQ242">
        <f>AC242*BC242</f>
        <v>51415.49</v>
      </c>
      <c r="CR242">
        <f>AD242*BB242</f>
        <v>1982.66</v>
      </c>
      <c r="CS242">
        <f>AE242*BS242</f>
        <v>298.35000000000002</v>
      </c>
      <c r="CT242">
        <f>AF242*BA242</f>
        <v>1314.45</v>
      </c>
      <c r="CU242">
        <f t="shared" si="174"/>
        <v>0</v>
      </c>
      <c r="CV242">
        <f t="shared" si="174"/>
        <v>206.99999999999997</v>
      </c>
      <c r="CW242">
        <f t="shared" si="174"/>
        <v>22.5</v>
      </c>
      <c r="CX242">
        <f t="shared" si="174"/>
        <v>0</v>
      </c>
      <c r="CY242">
        <f>(((S242+R242)*ROUND((FX242*IF((0=0),(IF(0,1,1)*1*IF(1,1,1)),1)),0))/100)</f>
        <v>1.0185</v>
      </c>
      <c r="CZ242">
        <f>(((S242+R242)*ROUND((FY242*IF((0=0),(1*IF(1,1,1)),1)),0))/100)</f>
        <v>0.53349999999999997</v>
      </c>
      <c r="DC242" t="s">
        <v>3</v>
      </c>
      <c r="DD242" t="s">
        <v>3</v>
      </c>
      <c r="DE242" t="s">
        <v>12</v>
      </c>
      <c r="DF242" t="s">
        <v>12</v>
      </c>
      <c r="DG242" t="s">
        <v>13</v>
      </c>
      <c r="DH242" t="s">
        <v>3</v>
      </c>
      <c r="DI242" t="s">
        <v>13</v>
      </c>
      <c r="DJ242" t="s">
        <v>12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224</v>
      </c>
      <c r="DW242" t="s">
        <v>224</v>
      </c>
      <c r="DX242">
        <v>1</v>
      </c>
      <c r="EE242">
        <v>39190889</v>
      </c>
      <c r="EF242">
        <v>2</v>
      </c>
      <c r="EG242" t="s">
        <v>31</v>
      </c>
      <c r="EH242">
        <v>0</v>
      </c>
      <c r="EI242" t="s">
        <v>3</v>
      </c>
      <c r="EJ242">
        <v>1</v>
      </c>
      <c r="EK242">
        <v>6001</v>
      </c>
      <c r="EL242" t="s">
        <v>226</v>
      </c>
      <c r="EM242" t="s">
        <v>227</v>
      </c>
      <c r="EO242" t="s">
        <v>3</v>
      </c>
      <c r="EQ242">
        <v>131072</v>
      </c>
      <c r="ER242">
        <v>54144.62</v>
      </c>
      <c r="ES242">
        <v>51415.49</v>
      </c>
      <c r="ET242">
        <v>1586.13</v>
      </c>
      <c r="EU242">
        <v>238.68</v>
      </c>
      <c r="EV242">
        <v>1143</v>
      </c>
      <c r="EW242">
        <v>180</v>
      </c>
      <c r="EX242">
        <v>18</v>
      </c>
      <c r="EY242">
        <v>0</v>
      </c>
      <c r="FQ242">
        <v>0</v>
      </c>
      <c r="FR242">
        <f>ROUND(IF(AND(BH242=3,BI242=3),P242,0),2)</f>
        <v>0</v>
      </c>
      <c r="FS242">
        <v>0</v>
      </c>
      <c r="FU242" t="s">
        <v>34</v>
      </c>
      <c r="FX242">
        <v>105</v>
      </c>
      <c r="FY242">
        <v>55.25</v>
      </c>
      <c r="GA242" t="s">
        <v>3</v>
      </c>
      <c r="GD242">
        <v>1</v>
      </c>
      <c r="GF242">
        <v>289825225</v>
      </c>
      <c r="GG242">
        <v>2</v>
      </c>
      <c r="GH242">
        <v>0</v>
      </c>
      <c r="GI242">
        <v>0</v>
      </c>
      <c r="GJ242">
        <v>0</v>
      </c>
      <c r="GK242">
        <v>0</v>
      </c>
      <c r="GL242">
        <f>ROUND(IF(AND(BH242=3,BI242=3,FS242&lt;&gt;0),P242,0),2)</f>
        <v>0</v>
      </c>
      <c r="GM242">
        <f>ROUND(O242+X242+Y242,2)+GX242</f>
        <v>34.380000000000003</v>
      </c>
      <c r="GN242">
        <f>IF(OR(BI242=0,BI242=1),ROUND(O242+X242+Y242,2),0)</f>
        <v>34.380000000000003</v>
      </c>
      <c r="GO242">
        <f>IF(BI242=2,ROUND(O242+X242+Y242,2),0)</f>
        <v>0</v>
      </c>
      <c r="GP242">
        <f>IF(BI242=4,ROUND(O242+X242+Y242,2)+GX242,0)</f>
        <v>0</v>
      </c>
      <c r="GR242">
        <v>0</v>
      </c>
      <c r="GS242">
        <v>0</v>
      </c>
      <c r="GT242">
        <v>0</v>
      </c>
      <c r="GU242" t="s">
        <v>3</v>
      </c>
      <c r="GV242">
        <f>ROUND((GT242),2)</f>
        <v>0</v>
      </c>
      <c r="GW242">
        <v>1</v>
      </c>
      <c r="GX242">
        <f>ROUND(HC242*I242,2)</f>
        <v>0</v>
      </c>
      <c r="HA242">
        <v>0</v>
      </c>
      <c r="HB242">
        <v>0</v>
      </c>
      <c r="HC242">
        <f>GV242*GW242</f>
        <v>0</v>
      </c>
      <c r="IK242">
        <v>0</v>
      </c>
    </row>
    <row r="243" spans="1:245" x14ac:dyDescent="0.2">
      <c r="A243">
        <v>17</v>
      </c>
      <c r="B243">
        <v>1</v>
      </c>
      <c r="C243">
        <f>ROW(SmtRes!A128)</f>
        <v>128</v>
      </c>
      <c r="D243">
        <f>ROW(EtalonRes!A127)</f>
        <v>127</v>
      </c>
      <c r="E243" t="s">
        <v>234</v>
      </c>
      <c r="F243" t="s">
        <v>201</v>
      </c>
      <c r="G243" t="s">
        <v>202</v>
      </c>
      <c r="H243" t="s">
        <v>185</v>
      </c>
      <c r="I243">
        <f>ROUND((I242*100)/100,4)</f>
        <v>5.9999999999999995E-4</v>
      </c>
      <c r="J243">
        <v>0</v>
      </c>
      <c r="O243">
        <f>ROUND(CP243,2)</f>
        <v>0.37</v>
      </c>
      <c r="P243">
        <f>ROUND(CQ243*I243,2)</f>
        <v>0</v>
      </c>
      <c r="Q243">
        <f>ROUND(CR243*I243,2)</f>
        <v>0</v>
      </c>
      <c r="R243">
        <f>ROUND(CS243*I243,2)</f>
        <v>0</v>
      </c>
      <c r="S243">
        <f>ROUND(CT243*I243,2)</f>
        <v>0.37</v>
      </c>
      <c r="T243">
        <f>ROUND(CU243*I243,2)</f>
        <v>0</v>
      </c>
      <c r="U243">
        <f>CV243*I243</f>
        <v>6.1064999999999987E-2</v>
      </c>
      <c r="V243">
        <f>CW243*I243</f>
        <v>0</v>
      </c>
      <c r="W243">
        <f>ROUND(CX243*I243,2)</f>
        <v>0</v>
      </c>
      <c r="X243">
        <f t="shared" si="173"/>
        <v>0.3</v>
      </c>
      <c r="Y243">
        <f t="shared" si="173"/>
        <v>0.14000000000000001</v>
      </c>
      <c r="AA243">
        <v>39201625</v>
      </c>
      <c r="AB243">
        <f>ROUND((AC243+AD243+AF243),2)</f>
        <v>620.83000000000004</v>
      </c>
      <c r="AC243">
        <f>ROUND((ES243),2)</f>
        <v>0</v>
      </c>
      <c r="AD243">
        <f>ROUND(((((ET243*1.25))-((EU243*1.25)))+AE243),2)</f>
        <v>0</v>
      </c>
      <c r="AE243">
        <f>ROUND(((EU243*1.25)),2)</f>
        <v>0</v>
      </c>
      <c r="AF243">
        <f>ROUND(((EV243*1.15)),2)</f>
        <v>620.83000000000004</v>
      </c>
      <c r="AG243">
        <f>ROUND((AP243),2)</f>
        <v>0</v>
      </c>
      <c r="AH243">
        <f>((EW243*1.15))</f>
        <v>101.77499999999999</v>
      </c>
      <c r="AI243">
        <f>((EX243*1.25))</f>
        <v>0</v>
      </c>
      <c r="AJ243">
        <f>(AS243)</f>
        <v>0</v>
      </c>
      <c r="AK243">
        <v>539.85</v>
      </c>
      <c r="AL243">
        <v>0</v>
      </c>
      <c r="AM243">
        <v>0</v>
      </c>
      <c r="AN243">
        <v>0</v>
      </c>
      <c r="AO243">
        <v>539.85</v>
      </c>
      <c r="AP243">
        <v>0</v>
      </c>
      <c r="AQ243">
        <v>88.5</v>
      </c>
      <c r="AR243">
        <v>0</v>
      </c>
      <c r="AS243">
        <v>0</v>
      </c>
      <c r="AT243">
        <v>80</v>
      </c>
      <c r="AU243">
        <v>38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3</v>
      </c>
      <c r="BE243" t="s">
        <v>3</v>
      </c>
      <c r="BF243" t="s">
        <v>3</v>
      </c>
      <c r="BG243" t="s">
        <v>3</v>
      </c>
      <c r="BH243">
        <v>0</v>
      </c>
      <c r="BI243">
        <v>1</v>
      </c>
      <c r="BJ243" t="s">
        <v>203</v>
      </c>
      <c r="BM243">
        <v>1003</v>
      </c>
      <c r="BN243">
        <v>0</v>
      </c>
      <c r="BO243" t="s">
        <v>3</v>
      </c>
      <c r="BP243">
        <v>0</v>
      </c>
      <c r="BQ243">
        <v>2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3</v>
      </c>
      <c r="BZ243">
        <v>80</v>
      </c>
      <c r="CA243">
        <v>45</v>
      </c>
      <c r="CE243">
        <v>0</v>
      </c>
      <c r="CF243">
        <v>0</v>
      </c>
      <c r="CG243">
        <v>0</v>
      </c>
      <c r="CM243">
        <v>0</v>
      </c>
      <c r="CN243" t="s">
        <v>3</v>
      </c>
      <c r="CO243">
        <v>0</v>
      </c>
      <c r="CP243">
        <f>(P243+Q243+S243)</f>
        <v>0.37</v>
      </c>
      <c r="CQ243">
        <f>AC243*BC243</f>
        <v>0</v>
      </c>
      <c r="CR243">
        <f>AD243*BB243</f>
        <v>0</v>
      </c>
      <c r="CS243">
        <f>AE243*BS243</f>
        <v>0</v>
      </c>
      <c r="CT243">
        <f>AF243*BA243</f>
        <v>620.83000000000004</v>
      </c>
      <c r="CU243">
        <f t="shared" si="174"/>
        <v>0</v>
      </c>
      <c r="CV243">
        <f t="shared" si="174"/>
        <v>101.77499999999999</v>
      </c>
      <c r="CW243">
        <f t="shared" si="174"/>
        <v>0</v>
      </c>
      <c r="CX243">
        <f t="shared" si="174"/>
        <v>0</v>
      </c>
      <c r="CY243">
        <f>(((S243+R243)*ROUND((FX243*IF((0=0),(IF(0,1,1)*1*IF(1,1,1)),1)),0))/100)</f>
        <v>0.29600000000000004</v>
      </c>
      <c r="CZ243">
        <f>(((S243+R243)*ROUND((FY243*IF((0=0),(1*IF(1,1,1)),1)),0))/100)</f>
        <v>0.1406</v>
      </c>
      <c r="DC243" t="s">
        <v>3</v>
      </c>
      <c r="DD243" t="s">
        <v>3</v>
      </c>
      <c r="DE243" t="s">
        <v>138</v>
      </c>
      <c r="DF243" t="s">
        <v>138</v>
      </c>
      <c r="DG243" t="s">
        <v>139</v>
      </c>
      <c r="DH243" t="s">
        <v>3</v>
      </c>
      <c r="DI243" t="s">
        <v>139</v>
      </c>
      <c r="DJ243" t="s">
        <v>138</v>
      </c>
      <c r="DK243" t="s">
        <v>3</v>
      </c>
      <c r="DL243" t="s">
        <v>3</v>
      </c>
      <c r="DM243" t="s">
        <v>3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185</v>
      </c>
      <c r="DW243" t="s">
        <v>185</v>
      </c>
      <c r="DX243">
        <v>1</v>
      </c>
      <c r="EE243">
        <v>39190872</v>
      </c>
      <c r="EF243">
        <v>2</v>
      </c>
      <c r="EG243" t="s">
        <v>31</v>
      </c>
      <c r="EH243">
        <v>0</v>
      </c>
      <c r="EI243" t="s">
        <v>3</v>
      </c>
      <c r="EJ243">
        <v>1</v>
      </c>
      <c r="EK243">
        <v>1003</v>
      </c>
      <c r="EL243" t="s">
        <v>187</v>
      </c>
      <c r="EM243" t="s">
        <v>46</v>
      </c>
      <c r="EO243" t="s">
        <v>3</v>
      </c>
      <c r="EQ243">
        <v>131072</v>
      </c>
      <c r="ER243">
        <v>539.85</v>
      </c>
      <c r="ES243">
        <v>0</v>
      </c>
      <c r="ET243">
        <v>0</v>
      </c>
      <c r="EU243">
        <v>0</v>
      </c>
      <c r="EV243">
        <v>539.85</v>
      </c>
      <c r="EW243">
        <v>88.5</v>
      </c>
      <c r="EX243">
        <v>0</v>
      </c>
      <c r="EY243">
        <v>0</v>
      </c>
      <c r="FQ243">
        <v>0</v>
      </c>
      <c r="FR243">
        <f>ROUND(IF(AND(BH243=3,BI243=3),P243,0),2)</f>
        <v>0</v>
      </c>
      <c r="FS243">
        <v>0</v>
      </c>
      <c r="FU243" t="s">
        <v>34</v>
      </c>
      <c r="FX243">
        <v>80</v>
      </c>
      <c r="FY243">
        <v>38.25</v>
      </c>
      <c r="GA243" t="s">
        <v>3</v>
      </c>
      <c r="GD243">
        <v>1</v>
      </c>
      <c r="GF243">
        <v>-574956848</v>
      </c>
      <c r="GG243">
        <v>2</v>
      </c>
      <c r="GH243">
        <v>0</v>
      </c>
      <c r="GI243">
        <v>0</v>
      </c>
      <c r="GJ243">
        <v>0</v>
      </c>
      <c r="GK243">
        <v>0</v>
      </c>
      <c r="GL243">
        <f>ROUND(IF(AND(BH243=3,BI243=3,FS243&lt;&gt;0),P243,0),2)</f>
        <v>0</v>
      </c>
      <c r="GM243">
        <f>ROUND(O243+X243+Y243,2)+GX243</f>
        <v>0.81</v>
      </c>
      <c r="GN243">
        <f>IF(OR(BI243=0,BI243=1),ROUND(O243+X243+Y243,2),0)</f>
        <v>0.81</v>
      </c>
      <c r="GO243">
        <f>IF(BI243=2,ROUND(O243+X243+Y243,2),0)</f>
        <v>0</v>
      </c>
      <c r="GP243">
        <f>IF(BI243=4,ROUND(O243+X243+Y243,2)+GX243,0)</f>
        <v>0</v>
      </c>
      <c r="GR243">
        <v>0</v>
      </c>
      <c r="GS243">
        <v>0</v>
      </c>
      <c r="GT243">
        <v>0</v>
      </c>
      <c r="GU243" t="s">
        <v>3</v>
      </c>
      <c r="GV243">
        <f>ROUND((GT243),2)</f>
        <v>0</v>
      </c>
      <c r="GW243">
        <v>1</v>
      </c>
      <c r="GX243">
        <f>ROUND(HC243*I243,2)</f>
        <v>0</v>
      </c>
      <c r="HA243">
        <v>0</v>
      </c>
      <c r="HB243">
        <v>0</v>
      </c>
      <c r="HC243">
        <f>GV243*GW243</f>
        <v>0</v>
      </c>
      <c r="IK243">
        <v>0</v>
      </c>
    </row>
    <row r="245" spans="1:245" x14ac:dyDescent="0.2">
      <c r="A245" s="2">
        <v>51</v>
      </c>
      <c r="B245" s="2">
        <f>B236</f>
        <v>1</v>
      </c>
      <c r="C245" s="2">
        <f>A236</f>
        <v>5</v>
      </c>
      <c r="D245" s="2">
        <f>ROW(A236)</f>
        <v>236</v>
      </c>
      <c r="E245" s="2"/>
      <c r="F245" s="2" t="str">
        <f>IF(F236&lt;&gt;"",F236,"")</f>
        <v>Новый подраздел</v>
      </c>
      <c r="G245" s="2" t="str">
        <f>IF(G236&lt;&gt;"",G236,"")</f>
        <v>Установка скамеек</v>
      </c>
      <c r="H245" s="2">
        <v>0</v>
      </c>
      <c r="I245" s="2"/>
      <c r="J245" s="2"/>
      <c r="K245" s="2"/>
      <c r="L245" s="2"/>
      <c r="M245" s="2"/>
      <c r="N245" s="2"/>
      <c r="O245" s="2">
        <f t="shared" ref="O245:T245" si="175">ROUND(AB245,2)</f>
        <v>1070.97</v>
      </c>
      <c r="P245" s="2">
        <f t="shared" si="175"/>
        <v>1066.17</v>
      </c>
      <c r="Q245" s="2">
        <f t="shared" si="175"/>
        <v>1.19</v>
      </c>
      <c r="R245" s="2">
        <f t="shared" si="175"/>
        <v>0.18</v>
      </c>
      <c r="S245" s="2">
        <f t="shared" si="175"/>
        <v>3.61</v>
      </c>
      <c r="T245" s="2">
        <f t="shared" si="175"/>
        <v>0</v>
      </c>
      <c r="U245" s="2">
        <f>AH245</f>
        <v>0.57166499999999998</v>
      </c>
      <c r="V245" s="2">
        <f>AI245</f>
        <v>1.3499999999999998E-2</v>
      </c>
      <c r="W245" s="2">
        <f>ROUND(AJ245,2)</f>
        <v>0</v>
      </c>
      <c r="X245" s="2">
        <f>ROUND(AK245,2)</f>
        <v>3.28</v>
      </c>
      <c r="Y245" s="2">
        <f>ROUND(AL245,2)</f>
        <v>1.6</v>
      </c>
      <c r="Z245" s="2"/>
      <c r="AA245" s="2"/>
      <c r="AB245" s="2">
        <f>ROUND(SUMIF(AA240:AA243,"=39201625",O240:O243),2)</f>
        <v>1070.97</v>
      </c>
      <c r="AC245" s="2">
        <f>ROUND(SUMIF(AA240:AA243,"=39201625",P240:P243),2)</f>
        <v>1066.17</v>
      </c>
      <c r="AD245" s="2">
        <f>ROUND(SUMIF(AA240:AA243,"=39201625",Q240:Q243),2)</f>
        <v>1.19</v>
      </c>
      <c r="AE245" s="2">
        <f>ROUND(SUMIF(AA240:AA243,"=39201625",R240:R243),2)</f>
        <v>0.18</v>
      </c>
      <c r="AF245" s="2">
        <f>ROUND(SUMIF(AA240:AA243,"=39201625",S240:S243),2)</f>
        <v>3.61</v>
      </c>
      <c r="AG245" s="2">
        <f>ROUND(SUMIF(AA240:AA243,"=39201625",T240:T243),2)</f>
        <v>0</v>
      </c>
      <c r="AH245" s="2">
        <f>SUMIF(AA240:AA243,"=39201625",U240:U243)</f>
        <v>0.57166499999999998</v>
      </c>
      <c r="AI245" s="2">
        <f>SUMIF(AA240:AA243,"=39201625",V240:V243)</f>
        <v>1.3499999999999998E-2</v>
      </c>
      <c r="AJ245" s="2">
        <f>ROUND(SUMIF(AA240:AA243,"=39201625",W240:W243),2)</f>
        <v>0</v>
      </c>
      <c r="AK245" s="2">
        <f>ROUND(SUMIF(AA240:AA243,"=39201625",X240:X243),2)</f>
        <v>3.28</v>
      </c>
      <c r="AL245" s="2">
        <f>ROUND(SUMIF(AA240:AA243,"=39201625",Y240:Y243),2)</f>
        <v>1.6</v>
      </c>
      <c r="AM245" s="2"/>
      <c r="AN245" s="2"/>
      <c r="AO245" s="2">
        <f t="shared" ref="AO245:BD245" si="176">ROUND(BX245,2)</f>
        <v>0</v>
      </c>
      <c r="AP245" s="2">
        <f t="shared" si="176"/>
        <v>0</v>
      </c>
      <c r="AQ245" s="2">
        <f t="shared" si="176"/>
        <v>0</v>
      </c>
      <c r="AR245" s="2">
        <f t="shared" si="176"/>
        <v>1075.8499999999999</v>
      </c>
      <c r="AS245" s="2">
        <f t="shared" si="176"/>
        <v>1075.8499999999999</v>
      </c>
      <c r="AT245" s="2">
        <f t="shared" si="176"/>
        <v>0</v>
      </c>
      <c r="AU245" s="2">
        <f t="shared" si="176"/>
        <v>0</v>
      </c>
      <c r="AV245" s="2">
        <f t="shared" si="176"/>
        <v>1066.17</v>
      </c>
      <c r="AW245" s="2">
        <f t="shared" si="176"/>
        <v>1066.17</v>
      </c>
      <c r="AX245" s="2">
        <f t="shared" si="176"/>
        <v>0</v>
      </c>
      <c r="AY245" s="2">
        <f t="shared" si="176"/>
        <v>1066.17</v>
      </c>
      <c r="AZ245" s="2">
        <f t="shared" si="176"/>
        <v>0</v>
      </c>
      <c r="BA245" s="2">
        <f t="shared" si="176"/>
        <v>0</v>
      </c>
      <c r="BB245" s="2">
        <f t="shared" si="176"/>
        <v>0</v>
      </c>
      <c r="BC245" s="2">
        <f t="shared" si="176"/>
        <v>0</v>
      </c>
      <c r="BD245" s="2">
        <f t="shared" si="176"/>
        <v>0</v>
      </c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>
        <f>ROUND(SUMIF(AA240:AA243,"=39201625",FQ240:FQ243),2)</f>
        <v>0</v>
      </c>
      <c r="BY245" s="2">
        <f>ROUND(SUMIF(AA240:AA243,"=39201625",FR240:FR243),2)</f>
        <v>0</v>
      </c>
      <c r="BZ245" s="2">
        <f>ROUND(SUMIF(AA240:AA243,"=39201625",GL240:GL243),2)</f>
        <v>0</v>
      </c>
      <c r="CA245" s="2">
        <f>ROUND(SUMIF(AA240:AA243,"=39201625",GM240:GM243),2)</f>
        <v>1075.8499999999999</v>
      </c>
      <c r="CB245" s="2">
        <f>ROUND(SUMIF(AA240:AA243,"=39201625",GN240:GN243),2)</f>
        <v>1075.8499999999999</v>
      </c>
      <c r="CC245" s="2">
        <f>ROUND(SUMIF(AA240:AA243,"=39201625",GO240:GO243),2)</f>
        <v>0</v>
      </c>
      <c r="CD245" s="2">
        <f>ROUND(SUMIF(AA240:AA243,"=39201625",GP240:GP243),2)</f>
        <v>0</v>
      </c>
      <c r="CE245" s="2">
        <f>AC245-BX245</f>
        <v>1066.17</v>
      </c>
      <c r="CF245" s="2">
        <f>AC245-BY245</f>
        <v>1066.17</v>
      </c>
      <c r="CG245" s="2">
        <f>BX245-BZ245</f>
        <v>0</v>
      </c>
      <c r="CH245" s="2">
        <f>AC245-BX245-BY245+BZ245</f>
        <v>1066.17</v>
      </c>
      <c r="CI245" s="2">
        <f>BY245-BZ245</f>
        <v>0</v>
      </c>
      <c r="CJ245" s="2">
        <f>ROUND(SUMIF(AA240:AA243,"=39201625",GX240:GX243),2)</f>
        <v>0</v>
      </c>
      <c r="CK245" s="2">
        <f>ROUND(SUMIF(AA240:AA243,"=39201625",GY240:GY243),2)</f>
        <v>0</v>
      </c>
      <c r="CL245" s="2">
        <f>ROUND(SUMIF(AA240:AA243,"=39201625",GZ240:GZ243),2)</f>
        <v>0</v>
      </c>
      <c r="CM245" s="2">
        <f>ROUND(SUMIF(AA240:AA243,"=39201625",HD240:HD243),2)</f>
        <v>0</v>
      </c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  <c r="FA245" s="3"/>
      <c r="FB245" s="3"/>
      <c r="FC245" s="3"/>
      <c r="FD245" s="3"/>
      <c r="FE245" s="3"/>
      <c r="FF245" s="3"/>
      <c r="FG245" s="3"/>
      <c r="FH245" s="3"/>
      <c r="FI245" s="3"/>
      <c r="FJ245" s="3"/>
      <c r="FK245" s="3"/>
      <c r="FL245" s="3"/>
      <c r="FM245" s="3"/>
      <c r="FN245" s="3"/>
      <c r="FO245" s="3"/>
      <c r="FP245" s="3"/>
      <c r="FQ245" s="3"/>
      <c r="FR245" s="3"/>
      <c r="FS245" s="3"/>
      <c r="FT245" s="3"/>
      <c r="FU245" s="3"/>
      <c r="FV245" s="3"/>
      <c r="FW245" s="3"/>
      <c r="FX245" s="3"/>
      <c r="FY245" s="3"/>
      <c r="FZ245" s="3"/>
      <c r="GA245" s="3"/>
      <c r="GB245" s="3"/>
      <c r="GC245" s="3"/>
      <c r="GD245" s="3"/>
      <c r="GE245" s="3"/>
      <c r="GF245" s="3"/>
      <c r="GG245" s="3"/>
      <c r="GH245" s="3"/>
      <c r="GI245" s="3"/>
      <c r="GJ245" s="3"/>
      <c r="GK245" s="3"/>
      <c r="GL245" s="3"/>
      <c r="GM245" s="3"/>
      <c r="GN245" s="3"/>
      <c r="GO245" s="3"/>
      <c r="GP245" s="3"/>
      <c r="GQ245" s="3"/>
      <c r="GR245" s="3"/>
      <c r="GS245" s="3"/>
      <c r="GT245" s="3"/>
      <c r="GU245" s="3"/>
      <c r="GV245" s="3"/>
      <c r="GW245" s="3"/>
      <c r="GX245" s="3">
        <v>0</v>
      </c>
    </row>
    <row r="247" spans="1:245" x14ac:dyDescent="0.2">
      <c r="A247" s="4">
        <v>50</v>
      </c>
      <c r="B247" s="4">
        <v>0</v>
      </c>
      <c r="C247" s="4">
        <v>0</v>
      </c>
      <c r="D247" s="4">
        <v>1</v>
      </c>
      <c r="E247" s="4">
        <v>201</v>
      </c>
      <c r="F247" s="4">
        <f>ROUND(Source!O245,O247)</f>
        <v>1070.97</v>
      </c>
      <c r="G247" s="4" t="s">
        <v>66</v>
      </c>
      <c r="H247" s="4" t="s">
        <v>67</v>
      </c>
      <c r="I247" s="4"/>
      <c r="J247" s="4"/>
      <c r="K247" s="4">
        <v>201</v>
      </c>
      <c r="L247" s="4">
        <v>1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45" x14ac:dyDescent="0.2">
      <c r="A248" s="4">
        <v>50</v>
      </c>
      <c r="B248" s="4">
        <v>0</v>
      </c>
      <c r="C248" s="4">
        <v>0</v>
      </c>
      <c r="D248" s="4">
        <v>1</v>
      </c>
      <c r="E248" s="4">
        <v>202</v>
      </c>
      <c r="F248" s="4">
        <f>ROUND(Source!P245,O248)</f>
        <v>1066.17</v>
      </c>
      <c r="G248" s="4" t="s">
        <v>68</v>
      </c>
      <c r="H248" s="4" t="s">
        <v>69</v>
      </c>
      <c r="I248" s="4"/>
      <c r="J248" s="4"/>
      <c r="K248" s="4">
        <v>202</v>
      </c>
      <c r="L248" s="4">
        <v>2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45" x14ac:dyDescent="0.2">
      <c r="A249" s="4">
        <v>50</v>
      </c>
      <c r="B249" s="4">
        <v>0</v>
      </c>
      <c r="C249" s="4">
        <v>0</v>
      </c>
      <c r="D249" s="4">
        <v>1</v>
      </c>
      <c r="E249" s="4">
        <v>222</v>
      </c>
      <c r="F249" s="4">
        <f>ROUND(Source!AO245,O249)</f>
        <v>0</v>
      </c>
      <c r="G249" s="4" t="s">
        <v>70</v>
      </c>
      <c r="H249" s="4" t="s">
        <v>71</v>
      </c>
      <c r="I249" s="4"/>
      <c r="J249" s="4"/>
      <c r="K249" s="4">
        <v>222</v>
      </c>
      <c r="L249" s="4">
        <v>3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45" x14ac:dyDescent="0.2">
      <c r="A250" s="4">
        <v>50</v>
      </c>
      <c r="B250" s="4">
        <v>0</v>
      </c>
      <c r="C250" s="4">
        <v>0</v>
      </c>
      <c r="D250" s="4">
        <v>1</v>
      </c>
      <c r="E250" s="4">
        <v>225</v>
      </c>
      <c r="F250" s="4">
        <f>ROUND(Source!AV245,O250)</f>
        <v>1066.17</v>
      </c>
      <c r="G250" s="4" t="s">
        <v>72</v>
      </c>
      <c r="H250" s="4" t="s">
        <v>73</v>
      </c>
      <c r="I250" s="4"/>
      <c r="J250" s="4"/>
      <c r="K250" s="4">
        <v>225</v>
      </c>
      <c r="L250" s="4">
        <v>4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45" x14ac:dyDescent="0.2">
      <c r="A251" s="4">
        <v>50</v>
      </c>
      <c r="B251" s="4">
        <v>0</v>
      </c>
      <c r="C251" s="4">
        <v>0</v>
      </c>
      <c r="D251" s="4">
        <v>1</v>
      </c>
      <c r="E251" s="4">
        <v>226</v>
      </c>
      <c r="F251" s="4">
        <f>ROUND(Source!AW245,O251)</f>
        <v>1066.17</v>
      </c>
      <c r="G251" s="4" t="s">
        <v>74</v>
      </c>
      <c r="H251" s="4" t="s">
        <v>75</v>
      </c>
      <c r="I251" s="4"/>
      <c r="J251" s="4"/>
      <c r="K251" s="4">
        <v>226</v>
      </c>
      <c r="L251" s="4">
        <v>5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45" x14ac:dyDescent="0.2">
      <c r="A252" s="4">
        <v>50</v>
      </c>
      <c r="B252" s="4">
        <v>0</v>
      </c>
      <c r="C252" s="4">
        <v>0</v>
      </c>
      <c r="D252" s="4">
        <v>1</v>
      </c>
      <c r="E252" s="4">
        <v>227</v>
      </c>
      <c r="F252" s="4">
        <f>ROUND(Source!AX245,O252)</f>
        <v>0</v>
      </c>
      <c r="G252" s="4" t="s">
        <v>76</v>
      </c>
      <c r="H252" s="4" t="s">
        <v>77</v>
      </c>
      <c r="I252" s="4"/>
      <c r="J252" s="4"/>
      <c r="K252" s="4">
        <v>227</v>
      </c>
      <c r="L252" s="4">
        <v>6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45" x14ac:dyDescent="0.2">
      <c r="A253" s="4">
        <v>50</v>
      </c>
      <c r="B253" s="4">
        <v>0</v>
      </c>
      <c r="C253" s="4">
        <v>0</v>
      </c>
      <c r="D253" s="4">
        <v>1</v>
      </c>
      <c r="E253" s="4">
        <v>228</v>
      </c>
      <c r="F253" s="4">
        <f>ROUND(Source!AY245,O253)</f>
        <v>1066.17</v>
      </c>
      <c r="G253" s="4" t="s">
        <v>78</v>
      </c>
      <c r="H253" s="4" t="s">
        <v>79</v>
      </c>
      <c r="I253" s="4"/>
      <c r="J253" s="4"/>
      <c r="K253" s="4">
        <v>228</v>
      </c>
      <c r="L253" s="4">
        <v>7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45" x14ac:dyDescent="0.2">
      <c r="A254" s="4">
        <v>50</v>
      </c>
      <c r="B254" s="4">
        <v>0</v>
      </c>
      <c r="C254" s="4">
        <v>0</v>
      </c>
      <c r="D254" s="4">
        <v>1</v>
      </c>
      <c r="E254" s="4">
        <v>216</v>
      </c>
      <c r="F254" s="4">
        <f>ROUND(Source!AP245,O254)</f>
        <v>0</v>
      </c>
      <c r="G254" s="4" t="s">
        <v>80</v>
      </c>
      <c r="H254" s="4" t="s">
        <v>81</v>
      </c>
      <c r="I254" s="4"/>
      <c r="J254" s="4"/>
      <c r="K254" s="4">
        <v>216</v>
      </c>
      <c r="L254" s="4">
        <v>8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45" x14ac:dyDescent="0.2">
      <c r="A255" s="4">
        <v>50</v>
      </c>
      <c r="B255" s="4">
        <v>0</v>
      </c>
      <c r="C255" s="4">
        <v>0</v>
      </c>
      <c r="D255" s="4">
        <v>1</v>
      </c>
      <c r="E255" s="4">
        <v>223</v>
      </c>
      <c r="F255" s="4">
        <f>ROUND(Source!AQ245,O255)</f>
        <v>0</v>
      </c>
      <c r="G255" s="4" t="s">
        <v>82</v>
      </c>
      <c r="H255" s="4" t="s">
        <v>83</v>
      </c>
      <c r="I255" s="4"/>
      <c r="J255" s="4"/>
      <c r="K255" s="4">
        <v>223</v>
      </c>
      <c r="L255" s="4">
        <v>9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45" x14ac:dyDescent="0.2">
      <c r="A256" s="4">
        <v>50</v>
      </c>
      <c r="B256" s="4">
        <v>0</v>
      </c>
      <c r="C256" s="4">
        <v>0</v>
      </c>
      <c r="D256" s="4">
        <v>1</v>
      </c>
      <c r="E256" s="4">
        <v>229</v>
      </c>
      <c r="F256" s="4">
        <f>ROUND(Source!AZ245,O256)</f>
        <v>0</v>
      </c>
      <c r="G256" s="4" t="s">
        <v>84</v>
      </c>
      <c r="H256" s="4" t="s">
        <v>85</v>
      </c>
      <c r="I256" s="4"/>
      <c r="J256" s="4"/>
      <c r="K256" s="4">
        <v>229</v>
      </c>
      <c r="L256" s="4">
        <v>10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7" spans="1:23" x14ac:dyDescent="0.2">
      <c r="A257" s="4">
        <v>50</v>
      </c>
      <c r="B257" s="4">
        <v>0</v>
      </c>
      <c r="C257" s="4">
        <v>0</v>
      </c>
      <c r="D257" s="4">
        <v>1</v>
      </c>
      <c r="E257" s="4">
        <v>203</v>
      </c>
      <c r="F257" s="4">
        <f>ROUND(Source!Q245,O257)</f>
        <v>1.19</v>
      </c>
      <c r="G257" s="4" t="s">
        <v>86</v>
      </c>
      <c r="H257" s="4" t="s">
        <v>87</v>
      </c>
      <c r="I257" s="4"/>
      <c r="J257" s="4"/>
      <c r="K257" s="4">
        <v>203</v>
      </c>
      <c r="L257" s="4">
        <v>11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/>
    </row>
    <row r="258" spans="1:23" x14ac:dyDescent="0.2">
      <c r="A258" s="4">
        <v>50</v>
      </c>
      <c r="B258" s="4">
        <v>0</v>
      </c>
      <c r="C258" s="4">
        <v>0</v>
      </c>
      <c r="D258" s="4">
        <v>1</v>
      </c>
      <c r="E258" s="4">
        <v>231</v>
      </c>
      <c r="F258" s="4">
        <f>ROUND(Source!BB245,O258)</f>
        <v>0</v>
      </c>
      <c r="G258" s="4" t="s">
        <v>88</v>
      </c>
      <c r="H258" s="4" t="s">
        <v>89</v>
      </c>
      <c r="I258" s="4"/>
      <c r="J258" s="4"/>
      <c r="K258" s="4">
        <v>231</v>
      </c>
      <c r="L258" s="4">
        <v>12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/>
    </row>
    <row r="259" spans="1:23" x14ac:dyDescent="0.2">
      <c r="A259" s="4">
        <v>50</v>
      </c>
      <c r="B259" s="4">
        <v>0</v>
      </c>
      <c r="C259" s="4">
        <v>0</v>
      </c>
      <c r="D259" s="4">
        <v>1</v>
      </c>
      <c r="E259" s="4">
        <v>204</v>
      </c>
      <c r="F259" s="4">
        <f>ROUND(Source!R245,O259)</f>
        <v>0.18</v>
      </c>
      <c r="G259" s="4" t="s">
        <v>90</v>
      </c>
      <c r="H259" s="4" t="s">
        <v>91</v>
      </c>
      <c r="I259" s="4"/>
      <c r="J259" s="4"/>
      <c r="K259" s="4">
        <v>204</v>
      </c>
      <c r="L259" s="4">
        <v>13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/>
    </row>
    <row r="260" spans="1:23" x14ac:dyDescent="0.2">
      <c r="A260" s="4">
        <v>50</v>
      </c>
      <c r="B260" s="4">
        <v>0</v>
      </c>
      <c r="C260" s="4">
        <v>0</v>
      </c>
      <c r="D260" s="4">
        <v>1</v>
      </c>
      <c r="E260" s="4">
        <v>205</v>
      </c>
      <c r="F260" s="4">
        <f>ROUND(Source!S245,O260)</f>
        <v>3.61</v>
      </c>
      <c r="G260" s="4" t="s">
        <v>92</v>
      </c>
      <c r="H260" s="4" t="s">
        <v>93</v>
      </c>
      <c r="I260" s="4"/>
      <c r="J260" s="4"/>
      <c r="K260" s="4">
        <v>205</v>
      </c>
      <c r="L260" s="4">
        <v>14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/>
    </row>
    <row r="261" spans="1:23" x14ac:dyDescent="0.2">
      <c r="A261" s="4">
        <v>50</v>
      </c>
      <c r="B261" s="4">
        <v>0</v>
      </c>
      <c r="C261" s="4">
        <v>0</v>
      </c>
      <c r="D261" s="4">
        <v>1</v>
      </c>
      <c r="E261" s="4">
        <v>232</v>
      </c>
      <c r="F261" s="4">
        <f>ROUND(Source!BC245,O261)</f>
        <v>0</v>
      </c>
      <c r="G261" s="4" t="s">
        <v>94</v>
      </c>
      <c r="H261" s="4" t="s">
        <v>95</v>
      </c>
      <c r="I261" s="4"/>
      <c r="J261" s="4"/>
      <c r="K261" s="4">
        <v>232</v>
      </c>
      <c r="L261" s="4">
        <v>15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/>
    </row>
    <row r="262" spans="1:23" x14ac:dyDescent="0.2">
      <c r="A262" s="4">
        <v>50</v>
      </c>
      <c r="B262" s="4">
        <v>0</v>
      </c>
      <c r="C262" s="4">
        <v>0</v>
      </c>
      <c r="D262" s="4">
        <v>1</v>
      </c>
      <c r="E262" s="4">
        <v>214</v>
      </c>
      <c r="F262" s="4">
        <f>ROUND(Source!AS245,O262)</f>
        <v>1075.8499999999999</v>
      </c>
      <c r="G262" s="4" t="s">
        <v>96</v>
      </c>
      <c r="H262" s="4" t="s">
        <v>97</v>
      </c>
      <c r="I262" s="4"/>
      <c r="J262" s="4"/>
      <c r="K262" s="4">
        <v>214</v>
      </c>
      <c r="L262" s="4">
        <v>16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/>
    </row>
    <row r="263" spans="1:23" x14ac:dyDescent="0.2">
      <c r="A263" s="4">
        <v>50</v>
      </c>
      <c r="B263" s="4">
        <v>0</v>
      </c>
      <c r="C263" s="4">
        <v>0</v>
      </c>
      <c r="D263" s="4">
        <v>1</v>
      </c>
      <c r="E263" s="4">
        <v>215</v>
      </c>
      <c r="F263" s="4">
        <f>ROUND(Source!AT245,O263)</f>
        <v>0</v>
      </c>
      <c r="G263" s="4" t="s">
        <v>98</v>
      </c>
      <c r="H263" s="4" t="s">
        <v>99</v>
      </c>
      <c r="I263" s="4"/>
      <c r="J263" s="4"/>
      <c r="K263" s="4">
        <v>215</v>
      </c>
      <c r="L263" s="4">
        <v>17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/>
    </row>
    <row r="264" spans="1:23" x14ac:dyDescent="0.2">
      <c r="A264" s="4">
        <v>50</v>
      </c>
      <c r="B264" s="4">
        <v>0</v>
      </c>
      <c r="C264" s="4">
        <v>0</v>
      </c>
      <c r="D264" s="4">
        <v>1</v>
      </c>
      <c r="E264" s="4">
        <v>217</v>
      </c>
      <c r="F264" s="4">
        <f>ROUND(Source!AU245,O264)</f>
        <v>0</v>
      </c>
      <c r="G264" s="4" t="s">
        <v>100</v>
      </c>
      <c r="H264" s="4" t="s">
        <v>101</v>
      </c>
      <c r="I264" s="4"/>
      <c r="J264" s="4"/>
      <c r="K264" s="4">
        <v>217</v>
      </c>
      <c r="L264" s="4">
        <v>18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/>
    </row>
    <row r="265" spans="1:23" x14ac:dyDescent="0.2">
      <c r="A265" s="4">
        <v>50</v>
      </c>
      <c r="B265" s="4">
        <v>0</v>
      </c>
      <c r="C265" s="4">
        <v>0</v>
      </c>
      <c r="D265" s="4">
        <v>1</v>
      </c>
      <c r="E265" s="4">
        <v>230</v>
      </c>
      <c r="F265" s="4">
        <f>ROUND(Source!BA245,O265)</f>
        <v>0</v>
      </c>
      <c r="G265" s="4" t="s">
        <v>102</v>
      </c>
      <c r="H265" s="4" t="s">
        <v>103</v>
      </c>
      <c r="I265" s="4"/>
      <c r="J265" s="4"/>
      <c r="K265" s="4">
        <v>230</v>
      </c>
      <c r="L265" s="4">
        <v>19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/>
    </row>
    <row r="266" spans="1:23" x14ac:dyDescent="0.2">
      <c r="A266" s="4">
        <v>50</v>
      </c>
      <c r="B266" s="4">
        <v>0</v>
      </c>
      <c r="C266" s="4">
        <v>0</v>
      </c>
      <c r="D266" s="4">
        <v>1</v>
      </c>
      <c r="E266" s="4">
        <v>206</v>
      </c>
      <c r="F266" s="4">
        <f>ROUND(Source!T245,O266)</f>
        <v>0</v>
      </c>
      <c r="G266" s="4" t="s">
        <v>104</v>
      </c>
      <c r="H266" s="4" t="s">
        <v>105</v>
      </c>
      <c r="I266" s="4"/>
      <c r="J266" s="4"/>
      <c r="K266" s="4">
        <v>206</v>
      </c>
      <c r="L266" s="4">
        <v>20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/>
    </row>
    <row r="267" spans="1:23" x14ac:dyDescent="0.2">
      <c r="A267" s="4">
        <v>50</v>
      </c>
      <c r="B267" s="4">
        <v>0</v>
      </c>
      <c r="C267" s="4">
        <v>0</v>
      </c>
      <c r="D267" s="4">
        <v>1</v>
      </c>
      <c r="E267" s="4">
        <v>207</v>
      </c>
      <c r="F267" s="4">
        <f>Source!U245</f>
        <v>0.57166499999999998</v>
      </c>
      <c r="G267" s="4" t="s">
        <v>106</v>
      </c>
      <c r="H267" s="4" t="s">
        <v>107</v>
      </c>
      <c r="I267" s="4"/>
      <c r="J267" s="4"/>
      <c r="K267" s="4">
        <v>207</v>
      </c>
      <c r="L267" s="4">
        <v>21</v>
      </c>
      <c r="M267" s="4">
        <v>3</v>
      </c>
      <c r="N267" s="4" t="s">
        <v>3</v>
      </c>
      <c r="O267" s="4">
        <v>-1</v>
      </c>
      <c r="P267" s="4"/>
      <c r="Q267" s="4"/>
      <c r="R267" s="4"/>
      <c r="S267" s="4"/>
      <c r="T267" s="4"/>
      <c r="U267" s="4"/>
      <c r="V267" s="4"/>
      <c r="W267" s="4"/>
    </row>
    <row r="268" spans="1:23" x14ac:dyDescent="0.2">
      <c r="A268" s="4">
        <v>50</v>
      </c>
      <c r="B268" s="4">
        <v>0</v>
      </c>
      <c r="C268" s="4">
        <v>0</v>
      </c>
      <c r="D268" s="4">
        <v>1</v>
      </c>
      <c r="E268" s="4">
        <v>208</v>
      </c>
      <c r="F268" s="4">
        <f>Source!V245</f>
        <v>1.3499999999999998E-2</v>
      </c>
      <c r="G268" s="4" t="s">
        <v>108</v>
      </c>
      <c r="H268" s="4" t="s">
        <v>109</v>
      </c>
      <c r="I268" s="4"/>
      <c r="J268" s="4"/>
      <c r="K268" s="4">
        <v>208</v>
      </c>
      <c r="L268" s="4">
        <v>22</v>
      </c>
      <c r="M268" s="4">
        <v>3</v>
      </c>
      <c r="N268" s="4" t="s">
        <v>3</v>
      </c>
      <c r="O268" s="4">
        <v>-1</v>
      </c>
      <c r="P268" s="4"/>
      <c r="Q268" s="4"/>
      <c r="R268" s="4"/>
      <c r="S268" s="4"/>
      <c r="T268" s="4"/>
      <c r="U268" s="4"/>
      <c r="V268" s="4"/>
      <c r="W268" s="4"/>
    </row>
    <row r="269" spans="1:23" x14ac:dyDescent="0.2">
      <c r="A269" s="4">
        <v>50</v>
      </c>
      <c r="B269" s="4">
        <v>0</v>
      </c>
      <c r="C269" s="4">
        <v>0</v>
      </c>
      <c r="D269" s="4">
        <v>1</v>
      </c>
      <c r="E269" s="4">
        <v>209</v>
      </c>
      <c r="F269" s="4">
        <f>ROUND(Source!W245,O269)</f>
        <v>0</v>
      </c>
      <c r="G269" s="4" t="s">
        <v>110</v>
      </c>
      <c r="H269" s="4" t="s">
        <v>111</v>
      </c>
      <c r="I269" s="4"/>
      <c r="J269" s="4"/>
      <c r="K269" s="4">
        <v>209</v>
      </c>
      <c r="L269" s="4">
        <v>23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/>
    </row>
    <row r="270" spans="1:23" x14ac:dyDescent="0.2">
      <c r="A270" s="4">
        <v>50</v>
      </c>
      <c r="B270" s="4">
        <v>0</v>
      </c>
      <c r="C270" s="4">
        <v>0</v>
      </c>
      <c r="D270" s="4">
        <v>1</v>
      </c>
      <c r="E270" s="4">
        <v>233</v>
      </c>
      <c r="F270" s="4">
        <f>ROUND(Source!BD245,O270)</f>
        <v>0</v>
      </c>
      <c r="G270" s="4" t="s">
        <v>112</v>
      </c>
      <c r="H270" s="4" t="s">
        <v>113</v>
      </c>
      <c r="I270" s="4"/>
      <c r="J270" s="4"/>
      <c r="K270" s="4">
        <v>233</v>
      </c>
      <c r="L270" s="4">
        <v>24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/>
    </row>
    <row r="271" spans="1:23" x14ac:dyDescent="0.2">
      <c r="A271" s="4">
        <v>50</v>
      </c>
      <c r="B271" s="4">
        <v>0</v>
      </c>
      <c r="C271" s="4">
        <v>0</v>
      </c>
      <c r="D271" s="4">
        <v>1</v>
      </c>
      <c r="E271" s="4">
        <v>210</v>
      </c>
      <c r="F271" s="4">
        <f>ROUND(Source!X245,O271)</f>
        <v>3.28</v>
      </c>
      <c r="G271" s="4" t="s">
        <v>114</v>
      </c>
      <c r="H271" s="4" t="s">
        <v>115</v>
      </c>
      <c r="I271" s="4"/>
      <c r="J271" s="4"/>
      <c r="K271" s="4">
        <v>210</v>
      </c>
      <c r="L271" s="4">
        <v>25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3" x14ac:dyDescent="0.2">
      <c r="A272" s="4">
        <v>50</v>
      </c>
      <c r="B272" s="4">
        <v>0</v>
      </c>
      <c r="C272" s="4">
        <v>0</v>
      </c>
      <c r="D272" s="4">
        <v>1</v>
      </c>
      <c r="E272" s="4">
        <v>211</v>
      </c>
      <c r="F272" s="4">
        <f>ROUND(Source!Y245,O272)</f>
        <v>1.6</v>
      </c>
      <c r="G272" s="4" t="s">
        <v>116</v>
      </c>
      <c r="H272" s="4" t="s">
        <v>117</v>
      </c>
      <c r="I272" s="4"/>
      <c r="J272" s="4"/>
      <c r="K272" s="4">
        <v>211</v>
      </c>
      <c r="L272" s="4">
        <v>26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45" x14ac:dyDescent="0.2">
      <c r="A273" s="4">
        <v>50</v>
      </c>
      <c r="B273" s="4">
        <v>0</v>
      </c>
      <c r="C273" s="4">
        <v>0</v>
      </c>
      <c r="D273" s="4">
        <v>1</v>
      </c>
      <c r="E273" s="4">
        <v>224</v>
      </c>
      <c r="F273" s="4">
        <f>ROUND(Source!AR245,O273)</f>
        <v>1075.8499999999999</v>
      </c>
      <c r="G273" s="4" t="s">
        <v>118</v>
      </c>
      <c r="H273" s="4" t="s">
        <v>119</v>
      </c>
      <c r="I273" s="4"/>
      <c r="J273" s="4"/>
      <c r="K273" s="4">
        <v>224</v>
      </c>
      <c r="L273" s="4">
        <v>27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5" spans="1:245" x14ac:dyDescent="0.2">
      <c r="A275" s="1">
        <v>5</v>
      </c>
      <c r="B275" s="1">
        <v>1</v>
      </c>
      <c r="C275" s="1"/>
      <c r="D275" s="1">
        <f>ROW(A296)</f>
        <v>296</v>
      </c>
      <c r="E275" s="1"/>
      <c r="F275" s="1" t="s">
        <v>16</v>
      </c>
      <c r="G275" s="1" t="s">
        <v>235</v>
      </c>
      <c r="H275" s="1" t="s">
        <v>3</v>
      </c>
      <c r="I275" s="1">
        <v>0</v>
      </c>
      <c r="J275" s="1"/>
      <c r="K275" s="1">
        <v>-1</v>
      </c>
      <c r="L275" s="1"/>
      <c r="M275" s="1"/>
      <c r="N275" s="1"/>
      <c r="O275" s="1"/>
      <c r="P275" s="1"/>
      <c r="Q275" s="1"/>
      <c r="R275" s="1"/>
      <c r="S275" s="1"/>
      <c r="T275" s="1"/>
      <c r="U275" s="1" t="s">
        <v>3</v>
      </c>
      <c r="V275" s="1">
        <v>0</v>
      </c>
      <c r="W275" s="1"/>
      <c r="X275" s="1"/>
      <c r="Y275" s="1"/>
      <c r="Z275" s="1"/>
      <c r="AA275" s="1"/>
      <c r="AB275" s="1" t="s">
        <v>3</v>
      </c>
      <c r="AC275" s="1" t="s">
        <v>3</v>
      </c>
      <c r="AD275" s="1" t="s">
        <v>3</v>
      </c>
      <c r="AE275" s="1" t="s">
        <v>3</v>
      </c>
      <c r="AF275" s="1" t="s">
        <v>3</v>
      </c>
      <c r="AG275" s="1" t="s">
        <v>3</v>
      </c>
      <c r="AH275" s="1"/>
      <c r="AI275" s="1"/>
      <c r="AJ275" s="1"/>
      <c r="AK275" s="1"/>
      <c r="AL275" s="1"/>
      <c r="AM275" s="1"/>
      <c r="AN275" s="1"/>
      <c r="AO275" s="1"/>
      <c r="AP275" s="1" t="s">
        <v>3</v>
      </c>
      <c r="AQ275" s="1" t="s">
        <v>3</v>
      </c>
      <c r="AR275" s="1" t="s">
        <v>3</v>
      </c>
      <c r="AS275" s="1"/>
      <c r="AT275" s="1"/>
      <c r="AU275" s="1"/>
      <c r="AV275" s="1"/>
      <c r="AW275" s="1"/>
      <c r="AX275" s="1"/>
      <c r="AY275" s="1"/>
      <c r="AZ275" s="1" t="s">
        <v>3</v>
      </c>
      <c r="BA275" s="1"/>
      <c r="BB275" s="1" t="s">
        <v>3</v>
      </c>
      <c r="BC275" s="1" t="s">
        <v>3</v>
      </c>
      <c r="BD275" s="1" t="s">
        <v>12</v>
      </c>
      <c r="BE275" s="1" t="s">
        <v>12</v>
      </c>
      <c r="BF275" s="1" t="s">
        <v>13</v>
      </c>
      <c r="BG275" s="1" t="s">
        <v>3</v>
      </c>
      <c r="BH275" s="1" t="s">
        <v>13</v>
      </c>
      <c r="BI275" s="1" t="s">
        <v>12</v>
      </c>
      <c r="BJ275" s="1" t="s">
        <v>3</v>
      </c>
      <c r="BK275" s="1" t="s">
        <v>3</v>
      </c>
      <c r="BL275" s="1" t="s">
        <v>3</v>
      </c>
      <c r="BM275" s="1" t="s">
        <v>3</v>
      </c>
      <c r="BN275" s="1" t="s">
        <v>12</v>
      </c>
      <c r="BO275" s="1" t="s">
        <v>3</v>
      </c>
      <c r="BP275" s="1" t="s">
        <v>3</v>
      </c>
      <c r="BQ275" s="1"/>
      <c r="BR275" s="1"/>
      <c r="BS275" s="1"/>
      <c r="BT275" s="1"/>
      <c r="BU275" s="1"/>
      <c r="BV275" s="1"/>
      <c r="BW275" s="1"/>
      <c r="BX275" s="1">
        <v>0</v>
      </c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>
        <v>0</v>
      </c>
    </row>
    <row r="277" spans="1:245" x14ac:dyDescent="0.2">
      <c r="A277" s="2">
        <v>52</v>
      </c>
      <c r="B277" s="2">
        <f t="shared" ref="B277:G277" si="177">B296</f>
        <v>1</v>
      </c>
      <c r="C277" s="2">
        <f t="shared" si="177"/>
        <v>5</v>
      </c>
      <c r="D277" s="2">
        <f t="shared" si="177"/>
        <v>275</v>
      </c>
      <c r="E277" s="2">
        <f t="shared" si="177"/>
        <v>0</v>
      </c>
      <c r="F277" s="2" t="str">
        <f t="shared" si="177"/>
        <v>Новый подраздел</v>
      </c>
      <c r="G277" s="2" t="str">
        <f t="shared" si="177"/>
        <v>Площадка для мусорных контейнеров</v>
      </c>
      <c r="H277" s="2"/>
      <c r="I277" s="2"/>
      <c r="J277" s="2"/>
      <c r="K277" s="2"/>
      <c r="L277" s="2"/>
      <c r="M277" s="2"/>
      <c r="N277" s="2"/>
      <c r="O277" s="2">
        <f t="shared" ref="O277:AT277" si="178">O296</f>
        <v>9992.35</v>
      </c>
      <c r="P277" s="2">
        <f t="shared" si="178"/>
        <v>8472.5400000000009</v>
      </c>
      <c r="Q277" s="2">
        <f t="shared" si="178"/>
        <v>1068.57</v>
      </c>
      <c r="R277" s="2">
        <f t="shared" si="178"/>
        <v>154.85</v>
      </c>
      <c r="S277" s="2">
        <f t="shared" si="178"/>
        <v>451.24</v>
      </c>
      <c r="T277" s="2">
        <f t="shared" si="178"/>
        <v>0</v>
      </c>
      <c r="U277" s="2">
        <f t="shared" si="178"/>
        <v>65.365304100000003</v>
      </c>
      <c r="V277" s="2">
        <f t="shared" si="178"/>
        <v>13.980285000000002</v>
      </c>
      <c r="W277" s="2">
        <f t="shared" si="178"/>
        <v>0</v>
      </c>
      <c r="X277" s="2">
        <f t="shared" si="178"/>
        <v>580.42999999999995</v>
      </c>
      <c r="Y277" s="2">
        <f t="shared" si="178"/>
        <v>403.28</v>
      </c>
      <c r="Z277" s="2">
        <f t="shared" si="178"/>
        <v>0</v>
      </c>
      <c r="AA277" s="2">
        <f t="shared" si="178"/>
        <v>0</v>
      </c>
      <c r="AB277" s="2">
        <f t="shared" si="178"/>
        <v>9992.35</v>
      </c>
      <c r="AC277" s="2">
        <f t="shared" si="178"/>
        <v>8472.5400000000009</v>
      </c>
      <c r="AD277" s="2">
        <f t="shared" si="178"/>
        <v>1068.57</v>
      </c>
      <c r="AE277" s="2">
        <f t="shared" si="178"/>
        <v>154.85</v>
      </c>
      <c r="AF277" s="2">
        <f t="shared" si="178"/>
        <v>451.24</v>
      </c>
      <c r="AG277" s="2">
        <f t="shared" si="178"/>
        <v>0</v>
      </c>
      <c r="AH277" s="2">
        <f t="shared" si="178"/>
        <v>65.365304100000003</v>
      </c>
      <c r="AI277" s="2">
        <f t="shared" si="178"/>
        <v>13.980285000000002</v>
      </c>
      <c r="AJ277" s="2">
        <f t="shared" si="178"/>
        <v>0</v>
      </c>
      <c r="AK277" s="2">
        <f t="shared" si="178"/>
        <v>580.42999999999995</v>
      </c>
      <c r="AL277" s="2">
        <f t="shared" si="178"/>
        <v>403.28</v>
      </c>
      <c r="AM277" s="2">
        <f t="shared" si="178"/>
        <v>0</v>
      </c>
      <c r="AN277" s="2">
        <f t="shared" si="178"/>
        <v>0</v>
      </c>
      <c r="AO277" s="2">
        <f t="shared" si="178"/>
        <v>0</v>
      </c>
      <c r="AP277" s="2">
        <f t="shared" si="178"/>
        <v>0</v>
      </c>
      <c r="AQ277" s="2">
        <f t="shared" si="178"/>
        <v>0</v>
      </c>
      <c r="AR277" s="2">
        <f t="shared" si="178"/>
        <v>10976.06</v>
      </c>
      <c r="AS277" s="2">
        <f t="shared" si="178"/>
        <v>10976.06</v>
      </c>
      <c r="AT277" s="2">
        <f t="shared" si="178"/>
        <v>0</v>
      </c>
      <c r="AU277" s="2">
        <f t="shared" ref="AU277:BZ277" si="179">AU296</f>
        <v>0</v>
      </c>
      <c r="AV277" s="2">
        <f t="shared" si="179"/>
        <v>8472.5400000000009</v>
      </c>
      <c r="AW277" s="2">
        <f t="shared" si="179"/>
        <v>8472.5400000000009</v>
      </c>
      <c r="AX277" s="2">
        <f t="shared" si="179"/>
        <v>0</v>
      </c>
      <c r="AY277" s="2">
        <f t="shared" si="179"/>
        <v>8472.5400000000009</v>
      </c>
      <c r="AZ277" s="2">
        <f t="shared" si="179"/>
        <v>0</v>
      </c>
      <c r="BA277" s="2">
        <f t="shared" si="179"/>
        <v>0</v>
      </c>
      <c r="BB277" s="2">
        <f t="shared" si="179"/>
        <v>0</v>
      </c>
      <c r="BC277" s="2">
        <f t="shared" si="179"/>
        <v>0</v>
      </c>
      <c r="BD277" s="2">
        <f t="shared" si="179"/>
        <v>223.74</v>
      </c>
      <c r="BE277" s="2">
        <f t="shared" si="179"/>
        <v>0</v>
      </c>
      <c r="BF277" s="2">
        <f t="shared" si="179"/>
        <v>0</v>
      </c>
      <c r="BG277" s="2">
        <f t="shared" si="179"/>
        <v>0</v>
      </c>
      <c r="BH277" s="2">
        <f t="shared" si="179"/>
        <v>0</v>
      </c>
      <c r="BI277" s="2">
        <f t="shared" si="179"/>
        <v>0</v>
      </c>
      <c r="BJ277" s="2">
        <f t="shared" si="179"/>
        <v>0</v>
      </c>
      <c r="BK277" s="2">
        <f t="shared" si="179"/>
        <v>0</v>
      </c>
      <c r="BL277" s="2">
        <f t="shared" si="179"/>
        <v>0</v>
      </c>
      <c r="BM277" s="2">
        <f t="shared" si="179"/>
        <v>0</v>
      </c>
      <c r="BN277" s="2">
        <f t="shared" si="179"/>
        <v>0</v>
      </c>
      <c r="BO277" s="2">
        <f t="shared" si="179"/>
        <v>0</v>
      </c>
      <c r="BP277" s="2">
        <f t="shared" si="179"/>
        <v>0</v>
      </c>
      <c r="BQ277" s="2">
        <f t="shared" si="179"/>
        <v>0</v>
      </c>
      <c r="BR277" s="2">
        <f t="shared" si="179"/>
        <v>0</v>
      </c>
      <c r="BS277" s="2">
        <f t="shared" si="179"/>
        <v>0</v>
      </c>
      <c r="BT277" s="2">
        <f t="shared" si="179"/>
        <v>0</v>
      </c>
      <c r="BU277" s="2">
        <f t="shared" si="179"/>
        <v>0</v>
      </c>
      <c r="BV277" s="2">
        <f t="shared" si="179"/>
        <v>0</v>
      </c>
      <c r="BW277" s="2">
        <f t="shared" si="179"/>
        <v>0</v>
      </c>
      <c r="BX277" s="2">
        <f t="shared" si="179"/>
        <v>0</v>
      </c>
      <c r="BY277" s="2">
        <f t="shared" si="179"/>
        <v>0</v>
      </c>
      <c r="BZ277" s="2">
        <f t="shared" si="179"/>
        <v>0</v>
      </c>
      <c r="CA277" s="2">
        <f t="shared" ref="CA277:DF277" si="180">CA296</f>
        <v>10976.06</v>
      </c>
      <c r="CB277" s="2">
        <f t="shared" si="180"/>
        <v>10976.06</v>
      </c>
      <c r="CC277" s="2">
        <f t="shared" si="180"/>
        <v>0</v>
      </c>
      <c r="CD277" s="2">
        <f t="shared" si="180"/>
        <v>0</v>
      </c>
      <c r="CE277" s="2">
        <f t="shared" si="180"/>
        <v>8472.5400000000009</v>
      </c>
      <c r="CF277" s="2">
        <f t="shared" si="180"/>
        <v>8472.5400000000009</v>
      </c>
      <c r="CG277" s="2">
        <f t="shared" si="180"/>
        <v>0</v>
      </c>
      <c r="CH277" s="2">
        <f t="shared" si="180"/>
        <v>8472.5400000000009</v>
      </c>
      <c r="CI277" s="2">
        <f t="shared" si="180"/>
        <v>0</v>
      </c>
      <c r="CJ277" s="2">
        <f t="shared" si="180"/>
        <v>0</v>
      </c>
      <c r="CK277" s="2">
        <f t="shared" si="180"/>
        <v>0</v>
      </c>
      <c r="CL277" s="2">
        <f t="shared" si="180"/>
        <v>0</v>
      </c>
      <c r="CM277" s="2">
        <f t="shared" si="180"/>
        <v>223.74</v>
      </c>
      <c r="CN277" s="2">
        <f t="shared" si="180"/>
        <v>0</v>
      </c>
      <c r="CO277" s="2">
        <f t="shared" si="180"/>
        <v>0</v>
      </c>
      <c r="CP277" s="2">
        <f t="shared" si="180"/>
        <v>0</v>
      </c>
      <c r="CQ277" s="2">
        <f t="shared" si="180"/>
        <v>0</v>
      </c>
      <c r="CR277" s="2">
        <f t="shared" si="180"/>
        <v>0</v>
      </c>
      <c r="CS277" s="2">
        <f t="shared" si="180"/>
        <v>0</v>
      </c>
      <c r="CT277" s="2">
        <f t="shared" si="180"/>
        <v>0</v>
      </c>
      <c r="CU277" s="2">
        <f t="shared" si="180"/>
        <v>0</v>
      </c>
      <c r="CV277" s="2">
        <f t="shared" si="180"/>
        <v>0</v>
      </c>
      <c r="CW277" s="2">
        <f t="shared" si="180"/>
        <v>0</v>
      </c>
      <c r="CX277" s="2">
        <f t="shared" si="180"/>
        <v>0</v>
      </c>
      <c r="CY277" s="2">
        <f t="shared" si="180"/>
        <v>0</v>
      </c>
      <c r="CZ277" s="2">
        <f t="shared" si="180"/>
        <v>0</v>
      </c>
      <c r="DA277" s="2">
        <f t="shared" si="180"/>
        <v>0</v>
      </c>
      <c r="DB277" s="2">
        <f t="shared" si="180"/>
        <v>0</v>
      </c>
      <c r="DC277" s="2">
        <f t="shared" si="180"/>
        <v>0</v>
      </c>
      <c r="DD277" s="2">
        <f t="shared" si="180"/>
        <v>0</v>
      </c>
      <c r="DE277" s="2">
        <f t="shared" si="180"/>
        <v>0</v>
      </c>
      <c r="DF277" s="2">
        <f t="shared" si="180"/>
        <v>0</v>
      </c>
      <c r="DG277" s="3">
        <f t="shared" ref="DG277:EL277" si="181">DG296</f>
        <v>0</v>
      </c>
      <c r="DH277" s="3">
        <f t="shared" si="181"/>
        <v>0</v>
      </c>
      <c r="DI277" s="3">
        <f t="shared" si="181"/>
        <v>0</v>
      </c>
      <c r="DJ277" s="3">
        <f t="shared" si="181"/>
        <v>0</v>
      </c>
      <c r="DK277" s="3">
        <f t="shared" si="181"/>
        <v>0</v>
      </c>
      <c r="DL277" s="3">
        <f t="shared" si="181"/>
        <v>0</v>
      </c>
      <c r="DM277" s="3">
        <f t="shared" si="181"/>
        <v>0</v>
      </c>
      <c r="DN277" s="3">
        <f t="shared" si="181"/>
        <v>0</v>
      </c>
      <c r="DO277" s="3">
        <f t="shared" si="181"/>
        <v>0</v>
      </c>
      <c r="DP277" s="3">
        <f t="shared" si="181"/>
        <v>0</v>
      </c>
      <c r="DQ277" s="3">
        <f t="shared" si="181"/>
        <v>0</v>
      </c>
      <c r="DR277" s="3">
        <f t="shared" si="181"/>
        <v>0</v>
      </c>
      <c r="DS277" s="3">
        <f t="shared" si="181"/>
        <v>0</v>
      </c>
      <c r="DT277" s="3">
        <f t="shared" si="181"/>
        <v>0</v>
      </c>
      <c r="DU277" s="3">
        <f t="shared" si="181"/>
        <v>0</v>
      </c>
      <c r="DV277" s="3">
        <f t="shared" si="181"/>
        <v>0</v>
      </c>
      <c r="DW277" s="3">
        <f t="shared" si="181"/>
        <v>0</v>
      </c>
      <c r="DX277" s="3">
        <f t="shared" si="181"/>
        <v>0</v>
      </c>
      <c r="DY277" s="3">
        <f t="shared" si="181"/>
        <v>0</v>
      </c>
      <c r="DZ277" s="3">
        <f t="shared" si="181"/>
        <v>0</v>
      </c>
      <c r="EA277" s="3">
        <f t="shared" si="181"/>
        <v>0</v>
      </c>
      <c r="EB277" s="3">
        <f t="shared" si="181"/>
        <v>0</v>
      </c>
      <c r="EC277" s="3">
        <f t="shared" si="181"/>
        <v>0</v>
      </c>
      <c r="ED277" s="3">
        <f t="shared" si="181"/>
        <v>0</v>
      </c>
      <c r="EE277" s="3">
        <f t="shared" si="181"/>
        <v>0</v>
      </c>
      <c r="EF277" s="3">
        <f t="shared" si="181"/>
        <v>0</v>
      </c>
      <c r="EG277" s="3">
        <f t="shared" si="181"/>
        <v>0</v>
      </c>
      <c r="EH277" s="3">
        <f t="shared" si="181"/>
        <v>0</v>
      </c>
      <c r="EI277" s="3">
        <f t="shared" si="181"/>
        <v>0</v>
      </c>
      <c r="EJ277" s="3">
        <f t="shared" si="181"/>
        <v>0</v>
      </c>
      <c r="EK277" s="3">
        <f t="shared" si="181"/>
        <v>0</v>
      </c>
      <c r="EL277" s="3">
        <f t="shared" si="181"/>
        <v>0</v>
      </c>
      <c r="EM277" s="3">
        <f t="shared" ref="EM277:FR277" si="182">EM296</f>
        <v>0</v>
      </c>
      <c r="EN277" s="3">
        <f t="shared" si="182"/>
        <v>0</v>
      </c>
      <c r="EO277" s="3">
        <f t="shared" si="182"/>
        <v>0</v>
      </c>
      <c r="EP277" s="3">
        <f t="shared" si="182"/>
        <v>0</v>
      </c>
      <c r="EQ277" s="3">
        <f t="shared" si="182"/>
        <v>0</v>
      </c>
      <c r="ER277" s="3">
        <f t="shared" si="182"/>
        <v>0</v>
      </c>
      <c r="ES277" s="3">
        <f t="shared" si="182"/>
        <v>0</v>
      </c>
      <c r="ET277" s="3">
        <f t="shared" si="182"/>
        <v>0</v>
      </c>
      <c r="EU277" s="3">
        <f t="shared" si="182"/>
        <v>0</v>
      </c>
      <c r="EV277" s="3">
        <f t="shared" si="182"/>
        <v>0</v>
      </c>
      <c r="EW277" s="3">
        <f t="shared" si="182"/>
        <v>0</v>
      </c>
      <c r="EX277" s="3">
        <f t="shared" si="182"/>
        <v>0</v>
      </c>
      <c r="EY277" s="3">
        <f t="shared" si="182"/>
        <v>0</v>
      </c>
      <c r="EZ277" s="3">
        <f t="shared" si="182"/>
        <v>0</v>
      </c>
      <c r="FA277" s="3">
        <f t="shared" si="182"/>
        <v>0</v>
      </c>
      <c r="FB277" s="3">
        <f t="shared" si="182"/>
        <v>0</v>
      </c>
      <c r="FC277" s="3">
        <f t="shared" si="182"/>
        <v>0</v>
      </c>
      <c r="FD277" s="3">
        <f t="shared" si="182"/>
        <v>0</v>
      </c>
      <c r="FE277" s="3">
        <f t="shared" si="182"/>
        <v>0</v>
      </c>
      <c r="FF277" s="3">
        <f t="shared" si="182"/>
        <v>0</v>
      </c>
      <c r="FG277" s="3">
        <f t="shared" si="182"/>
        <v>0</v>
      </c>
      <c r="FH277" s="3">
        <f t="shared" si="182"/>
        <v>0</v>
      </c>
      <c r="FI277" s="3">
        <f t="shared" si="182"/>
        <v>0</v>
      </c>
      <c r="FJ277" s="3">
        <f t="shared" si="182"/>
        <v>0</v>
      </c>
      <c r="FK277" s="3">
        <f t="shared" si="182"/>
        <v>0</v>
      </c>
      <c r="FL277" s="3">
        <f t="shared" si="182"/>
        <v>0</v>
      </c>
      <c r="FM277" s="3">
        <f t="shared" si="182"/>
        <v>0</v>
      </c>
      <c r="FN277" s="3">
        <f t="shared" si="182"/>
        <v>0</v>
      </c>
      <c r="FO277" s="3">
        <f t="shared" si="182"/>
        <v>0</v>
      </c>
      <c r="FP277" s="3">
        <f t="shared" si="182"/>
        <v>0</v>
      </c>
      <c r="FQ277" s="3">
        <f t="shared" si="182"/>
        <v>0</v>
      </c>
      <c r="FR277" s="3">
        <f t="shared" si="182"/>
        <v>0</v>
      </c>
      <c r="FS277" s="3">
        <f t="shared" ref="FS277:GX277" si="183">FS296</f>
        <v>0</v>
      </c>
      <c r="FT277" s="3">
        <f t="shared" si="183"/>
        <v>0</v>
      </c>
      <c r="FU277" s="3">
        <f t="shared" si="183"/>
        <v>0</v>
      </c>
      <c r="FV277" s="3">
        <f t="shared" si="183"/>
        <v>0</v>
      </c>
      <c r="FW277" s="3">
        <f t="shared" si="183"/>
        <v>0</v>
      </c>
      <c r="FX277" s="3">
        <f t="shared" si="183"/>
        <v>0</v>
      </c>
      <c r="FY277" s="3">
        <f t="shared" si="183"/>
        <v>0</v>
      </c>
      <c r="FZ277" s="3">
        <f t="shared" si="183"/>
        <v>0</v>
      </c>
      <c r="GA277" s="3">
        <f t="shared" si="183"/>
        <v>0</v>
      </c>
      <c r="GB277" s="3">
        <f t="shared" si="183"/>
        <v>0</v>
      </c>
      <c r="GC277" s="3">
        <f t="shared" si="183"/>
        <v>0</v>
      </c>
      <c r="GD277" s="3">
        <f t="shared" si="183"/>
        <v>0</v>
      </c>
      <c r="GE277" s="3">
        <f t="shared" si="183"/>
        <v>0</v>
      </c>
      <c r="GF277" s="3">
        <f t="shared" si="183"/>
        <v>0</v>
      </c>
      <c r="GG277" s="3">
        <f t="shared" si="183"/>
        <v>0</v>
      </c>
      <c r="GH277" s="3">
        <f t="shared" si="183"/>
        <v>0</v>
      </c>
      <c r="GI277" s="3">
        <f t="shared" si="183"/>
        <v>0</v>
      </c>
      <c r="GJ277" s="3">
        <f t="shared" si="183"/>
        <v>0</v>
      </c>
      <c r="GK277" s="3">
        <f t="shared" si="183"/>
        <v>0</v>
      </c>
      <c r="GL277" s="3">
        <f t="shared" si="183"/>
        <v>0</v>
      </c>
      <c r="GM277" s="3">
        <f t="shared" si="183"/>
        <v>0</v>
      </c>
      <c r="GN277" s="3">
        <f t="shared" si="183"/>
        <v>0</v>
      </c>
      <c r="GO277" s="3">
        <f t="shared" si="183"/>
        <v>0</v>
      </c>
      <c r="GP277" s="3">
        <f t="shared" si="183"/>
        <v>0</v>
      </c>
      <c r="GQ277" s="3">
        <f t="shared" si="183"/>
        <v>0</v>
      </c>
      <c r="GR277" s="3">
        <f t="shared" si="183"/>
        <v>0</v>
      </c>
      <c r="GS277" s="3">
        <f t="shared" si="183"/>
        <v>0</v>
      </c>
      <c r="GT277" s="3">
        <f t="shared" si="183"/>
        <v>0</v>
      </c>
      <c r="GU277" s="3">
        <f t="shared" si="183"/>
        <v>0</v>
      </c>
      <c r="GV277" s="3">
        <f t="shared" si="183"/>
        <v>0</v>
      </c>
      <c r="GW277" s="3">
        <f t="shared" si="183"/>
        <v>0</v>
      </c>
      <c r="GX277" s="3">
        <f t="shared" si="183"/>
        <v>0</v>
      </c>
    </row>
    <row r="279" spans="1:245" x14ac:dyDescent="0.2">
      <c r="A279">
        <v>17</v>
      </c>
      <c r="B279">
        <v>1</v>
      </c>
      <c r="C279">
        <f>ROW(SmtRes!A133)</f>
        <v>133</v>
      </c>
      <c r="D279">
        <f>ROW(EtalonRes!A134)</f>
        <v>134</v>
      </c>
      <c r="E279" t="s">
        <v>236</v>
      </c>
      <c r="F279" t="s">
        <v>237</v>
      </c>
      <c r="G279" t="s">
        <v>238</v>
      </c>
      <c r="H279" t="s">
        <v>239</v>
      </c>
      <c r="I279">
        <f>ROUND(7/10,4)</f>
        <v>0.7</v>
      </c>
      <c r="J279">
        <v>0</v>
      </c>
      <c r="O279">
        <f t="shared" ref="O279:O294" si="184">ROUND(CP279,2)</f>
        <v>35.299999999999997</v>
      </c>
      <c r="P279">
        <f t="shared" ref="P279:P294" si="185">ROUND(CQ279*I279,2)</f>
        <v>0</v>
      </c>
      <c r="Q279">
        <f t="shared" ref="Q279:Q294" si="186">ROUND(CR279*I279,2)</f>
        <v>11.12</v>
      </c>
      <c r="R279">
        <f t="shared" ref="R279:R294" si="187">ROUND(CS279*I279,2)</f>
        <v>3.18</v>
      </c>
      <c r="S279">
        <f t="shared" ref="S279:S294" si="188">ROUND(CT279*I279,2)</f>
        <v>24.18</v>
      </c>
      <c r="T279">
        <f t="shared" ref="T279:T294" si="189">ROUND(CU279*I279,2)</f>
        <v>0</v>
      </c>
      <c r="U279">
        <f t="shared" ref="U279:U294" si="190">CV279*I279</f>
        <v>3.4839000000000002</v>
      </c>
      <c r="V279">
        <f t="shared" ref="V279:V294" si="191">CW279*I279</f>
        <v>0.27929999999999994</v>
      </c>
      <c r="W279">
        <f t="shared" ref="W279:W294" si="192">ROUND(CX279*I279,2)</f>
        <v>0</v>
      </c>
      <c r="X279">
        <f t="shared" ref="X279:X294" si="193">ROUND(CY279,2)</f>
        <v>24.62</v>
      </c>
      <c r="Y279">
        <f t="shared" ref="Y279:Y294" si="194">ROUND(CZ279,2)</f>
        <v>19.7</v>
      </c>
      <c r="AA279">
        <v>39201625</v>
      </c>
      <c r="AB279">
        <f t="shared" ref="AB279:AB294" si="195">ROUND((AC279+AD279+AF279),2)</f>
        <v>50.43</v>
      </c>
      <c r="AC279">
        <f>ROUND(((ES279*0)),2)</f>
        <v>0</v>
      </c>
      <c r="AD279">
        <f>ROUND(((((ET279*0.7))-((EU279*0.7)))+AE279),2)</f>
        <v>15.89</v>
      </c>
      <c r="AE279">
        <f>ROUND(((EU279*0.7)),2)</f>
        <v>4.54</v>
      </c>
      <c r="AF279">
        <f>ROUND(((EV279*0.7)),2)</f>
        <v>34.54</v>
      </c>
      <c r="AG279">
        <f t="shared" ref="AG279:AG294" si="196">ROUND((AP279),2)</f>
        <v>0</v>
      </c>
      <c r="AH279">
        <f>((EW279*0.7))</f>
        <v>4.9770000000000003</v>
      </c>
      <c r="AI279">
        <f>((EX279*0.7))</f>
        <v>0.39899999999999997</v>
      </c>
      <c r="AJ279">
        <f t="shared" ref="AJ279:AJ294" si="197">(AS279)</f>
        <v>0</v>
      </c>
      <c r="AK279">
        <v>72.040000000000006</v>
      </c>
      <c r="AL279">
        <v>0</v>
      </c>
      <c r="AM279">
        <v>22.7</v>
      </c>
      <c r="AN279">
        <v>6.49</v>
      </c>
      <c r="AO279">
        <v>49.34</v>
      </c>
      <c r="AP279">
        <v>0</v>
      </c>
      <c r="AQ279">
        <v>7.11</v>
      </c>
      <c r="AR279">
        <v>0.56999999999999995</v>
      </c>
      <c r="AS279">
        <v>0</v>
      </c>
      <c r="AT279">
        <v>90</v>
      </c>
      <c r="AU279">
        <v>72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1</v>
      </c>
      <c r="BJ279" t="s">
        <v>240</v>
      </c>
      <c r="BM279">
        <v>9001</v>
      </c>
      <c r="BN279">
        <v>0</v>
      </c>
      <c r="BO279" t="s">
        <v>3</v>
      </c>
      <c r="BP279">
        <v>0</v>
      </c>
      <c r="BQ279">
        <v>2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90</v>
      </c>
      <c r="CA279">
        <v>85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ref="CP279:CP294" si="198">(P279+Q279+S279)</f>
        <v>35.299999999999997</v>
      </c>
      <c r="CQ279">
        <f t="shared" ref="CQ279:CQ294" si="199">AC279*BC279</f>
        <v>0</v>
      </c>
      <c r="CR279">
        <f t="shared" ref="CR279:CR294" si="200">AD279*BB279</f>
        <v>15.89</v>
      </c>
      <c r="CS279">
        <f t="shared" ref="CS279:CS294" si="201">AE279*BS279</f>
        <v>4.54</v>
      </c>
      <c r="CT279">
        <f t="shared" ref="CT279:CT294" si="202">AF279*BA279</f>
        <v>34.54</v>
      </c>
      <c r="CU279">
        <f t="shared" ref="CU279:CU294" si="203">AG279</f>
        <v>0</v>
      </c>
      <c r="CV279">
        <f t="shared" ref="CV279:CV294" si="204">AH279</f>
        <v>4.9770000000000003</v>
      </c>
      <c r="CW279">
        <f t="shared" ref="CW279:CW294" si="205">AI279</f>
        <v>0.39899999999999997</v>
      </c>
      <c r="CX279">
        <f t="shared" ref="CX279:CX294" si="206">AJ279</f>
        <v>0</v>
      </c>
      <c r="CY279">
        <f>(((S279+R279)*ROUND((FX279*IF((0=0),(IF(0,1,1)*1*IF(1,1,1)),1)),0))/100)</f>
        <v>24.624000000000002</v>
      </c>
      <c r="CZ279">
        <f>(((S279+R279)*ROUND((FY279*IF((0=0),(1*IF(1,1,1)),1)),0))/100)</f>
        <v>19.699200000000001</v>
      </c>
      <c r="DC279" t="s">
        <v>3</v>
      </c>
      <c r="DD279" t="s">
        <v>241</v>
      </c>
      <c r="DE279" t="s">
        <v>242</v>
      </c>
      <c r="DF279" t="s">
        <v>242</v>
      </c>
      <c r="DG279" t="s">
        <v>242</v>
      </c>
      <c r="DH279" t="s">
        <v>3</v>
      </c>
      <c r="DI279" t="s">
        <v>242</v>
      </c>
      <c r="DJ279" t="s">
        <v>242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239</v>
      </c>
      <c r="DW279" t="s">
        <v>239</v>
      </c>
      <c r="DX279">
        <v>1</v>
      </c>
      <c r="EE279">
        <v>39190902</v>
      </c>
      <c r="EF279">
        <v>2</v>
      </c>
      <c r="EG279" t="s">
        <v>31</v>
      </c>
      <c r="EH279">
        <v>0</v>
      </c>
      <c r="EI279" t="s">
        <v>3</v>
      </c>
      <c r="EJ279">
        <v>1</v>
      </c>
      <c r="EK279">
        <v>9001</v>
      </c>
      <c r="EL279" t="s">
        <v>243</v>
      </c>
      <c r="EM279" t="s">
        <v>244</v>
      </c>
      <c r="EO279" t="s">
        <v>3</v>
      </c>
      <c r="EQ279">
        <v>0</v>
      </c>
      <c r="ER279">
        <v>72.040000000000006</v>
      </c>
      <c r="ES279">
        <v>0</v>
      </c>
      <c r="ET279">
        <v>22.7</v>
      </c>
      <c r="EU279">
        <v>6.49</v>
      </c>
      <c r="EV279">
        <v>49.34</v>
      </c>
      <c r="EW279">
        <v>7.11</v>
      </c>
      <c r="EX279">
        <v>0.56999999999999995</v>
      </c>
      <c r="EY279">
        <v>0</v>
      </c>
      <c r="FQ279">
        <v>0</v>
      </c>
      <c r="FR279">
        <f t="shared" ref="FR279:FR294" si="207">ROUND(IF(AND(BH279=3,BI279=3),P279,0),2)</f>
        <v>0</v>
      </c>
      <c r="FS279">
        <v>0</v>
      </c>
      <c r="FU279" t="s">
        <v>34</v>
      </c>
      <c r="FX279">
        <v>90</v>
      </c>
      <c r="FY279">
        <v>72.25</v>
      </c>
      <c r="GA279" t="s">
        <v>3</v>
      </c>
      <c r="GD279">
        <v>1</v>
      </c>
      <c r="GF279">
        <v>-899241610</v>
      </c>
      <c r="GG279">
        <v>2</v>
      </c>
      <c r="GH279">
        <v>0</v>
      </c>
      <c r="GI279">
        <v>0</v>
      </c>
      <c r="GJ279">
        <v>0</v>
      </c>
      <c r="GK279">
        <v>0</v>
      </c>
      <c r="GL279">
        <f t="shared" ref="GL279:GL294" si="208">ROUND(IF(AND(BH279=3,BI279=3,FS279&lt;&gt;0),P279,0),2)</f>
        <v>0</v>
      </c>
      <c r="GM279">
        <f t="shared" ref="GM279:GM294" si="209">ROUND(O279+X279+Y279,2)+GX279</f>
        <v>79.62</v>
      </c>
      <c r="GN279">
        <f t="shared" ref="GN279:GN294" si="210">IF(OR(BI279=0,BI279=1),ROUND(O279+X279+Y279,2),0)</f>
        <v>79.62</v>
      </c>
      <c r="GO279">
        <f t="shared" ref="GO279:GO294" si="211">IF(BI279=2,ROUND(O279+X279+Y279,2),0)</f>
        <v>0</v>
      </c>
      <c r="GP279">
        <f t="shared" ref="GP279:GP294" si="212">IF(BI279=4,ROUND(O279+X279+Y279,2)+GX279,0)</f>
        <v>0</v>
      </c>
      <c r="GR279">
        <v>0</v>
      </c>
      <c r="GS279">
        <v>0</v>
      </c>
      <c r="GT279">
        <v>0</v>
      </c>
      <c r="GU279" t="s">
        <v>3</v>
      </c>
      <c r="GV279">
        <f t="shared" ref="GV279:GV294" si="213">ROUND((GT279),2)</f>
        <v>0</v>
      </c>
      <c r="GW279">
        <v>1</v>
      </c>
      <c r="GX279">
        <f t="shared" ref="GX279:GX294" si="214">ROUND(HC279*I279,2)</f>
        <v>0</v>
      </c>
      <c r="HA279">
        <v>0</v>
      </c>
      <c r="HB279">
        <v>0</v>
      </c>
      <c r="HC279">
        <f t="shared" ref="HC279:HC294" si="215">GV279*GW279</f>
        <v>0</v>
      </c>
      <c r="IK279">
        <v>0</v>
      </c>
    </row>
    <row r="280" spans="1:245" x14ac:dyDescent="0.2">
      <c r="A280">
        <v>17</v>
      </c>
      <c r="B280">
        <v>1</v>
      </c>
      <c r="C280">
        <f>ROW(SmtRes!A139)</f>
        <v>139</v>
      </c>
      <c r="D280">
        <f>ROW(EtalonRes!A142)</f>
        <v>142</v>
      </c>
      <c r="E280" t="s">
        <v>245</v>
      </c>
      <c r="F280" t="s">
        <v>246</v>
      </c>
      <c r="G280" t="s">
        <v>247</v>
      </c>
      <c r="H280" t="s">
        <v>248</v>
      </c>
      <c r="I280">
        <f>ROUND(7/100,4)</f>
        <v>7.0000000000000007E-2</v>
      </c>
      <c r="J280">
        <v>0</v>
      </c>
      <c r="O280">
        <f t="shared" si="184"/>
        <v>73.180000000000007</v>
      </c>
      <c r="P280">
        <f t="shared" si="185"/>
        <v>0</v>
      </c>
      <c r="Q280">
        <f t="shared" si="186"/>
        <v>58.2</v>
      </c>
      <c r="R280">
        <f t="shared" si="187"/>
        <v>15.72</v>
      </c>
      <c r="S280">
        <f t="shared" si="188"/>
        <v>14.98</v>
      </c>
      <c r="T280">
        <f t="shared" si="189"/>
        <v>0</v>
      </c>
      <c r="U280">
        <f t="shared" si="190"/>
        <v>2.1584500000000002</v>
      </c>
      <c r="V280">
        <f t="shared" si="191"/>
        <v>1.3817999999999999</v>
      </c>
      <c r="W280">
        <f t="shared" si="192"/>
        <v>0</v>
      </c>
      <c r="X280">
        <f t="shared" si="193"/>
        <v>27.63</v>
      </c>
      <c r="Y280">
        <f t="shared" si="194"/>
        <v>22.1</v>
      </c>
      <c r="AA280">
        <v>39201625</v>
      </c>
      <c r="AB280">
        <f t="shared" si="195"/>
        <v>1045.48</v>
      </c>
      <c r="AC280">
        <f>ROUND(((ES280*0)),2)</f>
        <v>0</v>
      </c>
      <c r="AD280">
        <f>ROUND(((((ET280*0.7))-((EU280*0.7)))+AE280),2)</f>
        <v>831.48</v>
      </c>
      <c r="AE280">
        <f>ROUND(((EU280*0.7)),2)</f>
        <v>224.64</v>
      </c>
      <c r="AF280">
        <f>ROUND(((EV280*0.7)),2)</f>
        <v>214</v>
      </c>
      <c r="AG280">
        <f t="shared" si="196"/>
        <v>0</v>
      </c>
      <c r="AH280">
        <f>((EW280*0.7))</f>
        <v>30.834999999999997</v>
      </c>
      <c r="AI280">
        <f>((EX280*0.7))</f>
        <v>19.739999999999998</v>
      </c>
      <c r="AJ280">
        <f t="shared" si="197"/>
        <v>0</v>
      </c>
      <c r="AK280">
        <v>1493.55</v>
      </c>
      <c r="AL280">
        <v>0</v>
      </c>
      <c r="AM280">
        <v>1187.8399999999999</v>
      </c>
      <c r="AN280">
        <v>320.92</v>
      </c>
      <c r="AO280">
        <v>305.70999999999998</v>
      </c>
      <c r="AP280">
        <v>0</v>
      </c>
      <c r="AQ280">
        <v>44.05</v>
      </c>
      <c r="AR280">
        <v>28.2</v>
      </c>
      <c r="AS280">
        <v>0</v>
      </c>
      <c r="AT280">
        <v>90</v>
      </c>
      <c r="AU280">
        <v>72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1</v>
      </c>
      <c r="BJ280" t="s">
        <v>249</v>
      </c>
      <c r="BM280">
        <v>9001</v>
      </c>
      <c r="BN280">
        <v>0</v>
      </c>
      <c r="BO280" t="s">
        <v>3</v>
      </c>
      <c r="BP280">
        <v>0</v>
      </c>
      <c r="BQ280">
        <v>2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90</v>
      </c>
      <c r="CA280">
        <v>85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98"/>
        <v>73.180000000000007</v>
      </c>
      <c r="CQ280">
        <f t="shared" si="199"/>
        <v>0</v>
      </c>
      <c r="CR280">
        <f t="shared" si="200"/>
        <v>831.48</v>
      </c>
      <c r="CS280">
        <f t="shared" si="201"/>
        <v>224.64</v>
      </c>
      <c r="CT280">
        <f t="shared" si="202"/>
        <v>214</v>
      </c>
      <c r="CU280">
        <f t="shared" si="203"/>
        <v>0</v>
      </c>
      <c r="CV280">
        <f t="shared" si="204"/>
        <v>30.834999999999997</v>
      </c>
      <c r="CW280">
        <f t="shared" si="205"/>
        <v>19.739999999999998</v>
      </c>
      <c r="CX280">
        <f t="shared" si="206"/>
        <v>0</v>
      </c>
      <c r="CY280">
        <f>(((S280+R280)*ROUND((FX280*IF((0=0),(IF(0,1,1)*1*IF(1,1,1)),1)),0))/100)</f>
        <v>27.630000000000006</v>
      </c>
      <c r="CZ280">
        <f>(((S280+R280)*ROUND((FY280*IF((0=0),(1*IF(1,1,1)),1)),0))/100)</f>
        <v>22.103999999999999</v>
      </c>
      <c r="DC280" t="s">
        <v>3</v>
      </c>
      <c r="DD280" t="s">
        <v>241</v>
      </c>
      <c r="DE280" t="s">
        <v>242</v>
      </c>
      <c r="DF280" t="s">
        <v>242</v>
      </c>
      <c r="DG280" t="s">
        <v>242</v>
      </c>
      <c r="DH280" t="s">
        <v>3</v>
      </c>
      <c r="DI280" t="s">
        <v>242</v>
      </c>
      <c r="DJ280" t="s">
        <v>242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1002</v>
      </c>
      <c r="DV280" t="s">
        <v>248</v>
      </c>
      <c r="DW280" t="s">
        <v>248</v>
      </c>
      <c r="DX280">
        <v>1</v>
      </c>
      <c r="EE280">
        <v>39190902</v>
      </c>
      <c r="EF280">
        <v>2</v>
      </c>
      <c r="EG280" t="s">
        <v>31</v>
      </c>
      <c r="EH280">
        <v>0</v>
      </c>
      <c r="EI280" t="s">
        <v>3</v>
      </c>
      <c r="EJ280">
        <v>1</v>
      </c>
      <c r="EK280">
        <v>9001</v>
      </c>
      <c r="EL280" t="s">
        <v>243</v>
      </c>
      <c r="EM280" t="s">
        <v>244</v>
      </c>
      <c r="EO280" t="s">
        <v>3</v>
      </c>
      <c r="EQ280">
        <v>0</v>
      </c>
      <c r="ER280">
        <v>1493.55</v>
      </c>
      <c r="ES280">
        <v>0</v>
      </c>
      <c r="ET280">
        <v>1187.8399999999999</v>
      </c>
      <c r="EU280">
        <v>320.92</v>
      </c>
      <c r="EV280">
        <v>305.70999999999998</v>
      </c>
      <c r="EW280">
        <v>44.05</v>
      </c>
      <c r="EX280">
        <v>28.2</v>
      </c>
      <c r="EY280">
        <v>0</v>
      </c>
      <c r="FQ280">
        <v>0</v>
      </c>
      <c r="FR280">
        <f t="shared" si="207"/>
        <v>0</v>
      </c>
      <c r="FS280">
        <v>0</v>
      </c>
      <c r="FU280" t="s">
        <v>34</v>
      </c>
      <c r="FX280">
        <v>90</v>
      </c>
      <c r="FY280">
        <v>72.25</v>
      </c>
      <c r="GA280" t="s">
        <v>3</v>
      </c>
      <c r="GD280">
        <v>1</v>
      </c>
      <c r="GF280">
        <v>1475156471</v>
      </c>
      <c r="GG280">
        <v>2</v>
      </c>
      <c r="GH280">
        <v>0</v>
      </c>
      <c r="GI280">
        <v>0</v>
      </c>
      <c r="GJ280">
        <v>0</v>
      </c>
      <c r="GK280">
        <v>0</v>
      </c>
      <c r="GL280">
        <f t="shared" si="208"/>
        <v>0</v>
      </c>
      <c r="GM280">
        <f t="shared" si="209"/>
        <v>122.91</v>
      </c>
      <c r="GN280">
        <f t="shared" si="210"/>
        <v>122.91</v>
      </c>
      <c r="GO280">
        <f t="shared" si="211"/>
        <v>0</v>
      </c>
      <c r="GP280">
        <f t="shared" si="212"/>
        <v>0</v>
      </c>
      <c r="GR280">
        <v>0</v>
      </c>
      <c r="GS280">
        <v>0</v>
      </c>
      <c r="GT280">
        <v>0</v>
      </c>
      <c r="GU280" t="s">
        <v>3</v>
      </c>
      <c r="GV280">
        <f t="shared" si="213"/>
        <v>0</v>
      </c>
      <c r="GW280">
        <v>1</v>
      </c>
      <c r="GX280">
        <f t="shared" si="214"/>
        <v>0</v>
      </c>
      <c r="HA280">
        <v>0</v>
      </c>
      <c r="HB280">
        <v>0</v>
      </c>
      <c r="HC280">
        <f t="shared" si="215"/>
        <v>0</v>
      </c>
      <c r="IK280">
        <v>0</v>
      </c>
    </row>
    <row r="281" spans="1:245" x14ac:dyDescent="0.2">
      <c r="A281">
        <v>17</v>
      </c>
      <c r="B281">
        <v>1</v>
      </c>
      <c r="C281">
        <f>ROW(SmtRes!A145)</f>
        <v>145</v>
      </c>
      <c r="D281">
        <f>ROW(EtalonRes!A148)</f>
        <v>148</v>
      </c>
      <c r="E281" t="s">
        <v>250</v>
      </c>
      <c r="F281" t="s">
        <v>251</v>
      </c>
      <c r="G281" t="s">
        <v>252</v>
      </c>
      <c r="H281" t="s">
        <v>21</v>
      </c>
      <c r="I281">
        <f>ROUND(10/100,4)</f>
        <v>0.1</v>
      </c>
      <c r="J281">
        <v>0</v>
      </c>
      <c r="O281">
        <f t="shared" si="184"/>
        <v>562.37</v>
      </c>
      <c r="P281">
        <f t="shared" si="185"/>
        <v>0</v>
      </c>
      <c r="Q281">
        <f t="shared" si="186"/>
        <v>397.86</v>
      </c>
      <c r="R281">
        <f t="shared" si="187"/>
        <v>41.6</v>
      </c>
      <c r="S281">
        <f t="shared" si="188"/>
        <v>164.51</v>
      </c>
      <c r="T281">
        <f t="shared" si="189"/>
        <v>0</v>
      </c>
      <c r="U281">
        <f t="shared" si="190"/>
        <v>24.335000000000001</v>
      </c>
      <c r="V281">
        <f t="shared" si="191"/>
        <v>4.1390000000000002</v>
      </c>
      <c r="W281">
        <f t="shared" si="192"/>
        <v>0</v>
      </c>
      <c r="X281">
        <f t="shared" si="193"/>
        <v>214.35</v>
      </c>
      <c r="Y281">
        <f t="shared" si="194"/>
        <v>123.67</v>
      </c>
      <c r="AA281">
        <v>39201625</v>
      </c>
      <c r="AB281">
        <f t="shared" si="195"/>
        <v>5623.67</v>
      </c>
      <c r="AC281">
        <f t="shared" ref="AC281:AC294" si="216">ROUND((ES281),2)</f>
        <v>0</v>
      </c>
      <c r="AD281">
        <f>ROUND((((ET281)-(EU281))+AE281),2)</f>
        <v>3978.62</v>
      </c>
      <c r="AE281">
        <f>ROUND((EU281),2)</f>
        <v>415.97</v>
      </c>
      <c r="AF281">
        <f>ROUND((EV281),2)</f>
        <v>1645.05</v>
      </c>
      <c r="AG281">
        <f t="shared" si="196"/>
        <v>0</v>
      </c>
      <c r="AH281">
        <f t="shared" ref="AH281:AI283" si="217">(EW281)</f>
        <v>243.35</v>
      </c>
      <c r="AI281">
        <f t="shared" si="217"/>
        <v>41.39</v>
      </c>
      <c r="AJ281">
        <f t="shared" si="197"/>
        <v>0</v>
      </c>
      <c r="AK281">
        <v>5623.67</v>
      </c>
      <c r="AL281">
        <v>0</v>
      </c>
      <c r="AM281">
        <v>3978.62</v>
      </c>
      <c r="AN281">
        <v>415.97</v>
      </c>
      <c r="AO281">
        <v>1645.05</v>
      </c>
      <c r="AP281">
        <v>0</v>
      </c>
      <c r="AQ281">
        <v>243.35</v>
      </c>
      <c r="AR281">
        <v>41.39</v>
      </c>
      <c r="AS281">
        <v>0</v>
      </c>
      <c r="AT281">
        <v>104</v>
      </c>
      <c r="AU281">
        <v>60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1</v>
      </c>
      <c r="BJ281" t="s">
        <v>253</v>
      </c>
      <c r="BM281">
        <v>68001</v>
      </c>
      <c r="BN281">
        <v>0</v>
      </c>
      <c r="BO281" t="s">
        <v>3</v>
      </c>
      <c r="BP281">
        <v>0</v>
      </c>
      <c r="BQ281">
        <v>6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104</v>
      </c>
      <c r="CA281">
        <v>60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98"/>
        <v>562.37</v>
      </c>
      <c r="CQ281">
        <f t="shared" si="199"/>
        <v>0</v>
      </c>
      <c r="CR281">
        <f t="shared" si="200"/>
        <v>3978.62</v>
      </c>
      <c r="CS281">
        <f t="shared" si="201"/>
        <v>415.97</v>
      </c>
      <c r="CT281">
        <f t="shared" si="202"/>
        <v>1645.05</v>
      </c>
      <c r="CU281">
        <f t="shared" si="203"/>
        <v>0</v>
      </c>
      <c r="CV281">
        <f t="shared" si="204"/>
        <v>243.35</v>
      </c>
      <c r="CW281">
        <f t="shared" si="205"/>
        <v>41.39</v>
      </c>
      <c r="CX281">
        <f t="shared" si="206"/>
        <v>0</v>
      </c>
      <c r="CY281">
        <f>(((S281+R281)*ROUND((FX281*IF((0=0),(IF(0,1,1)*1*IF(1,1,1)),1)),0))/100)</f>
        <v>214.3544</v>
      </c>
      <c r="CZ281">
        <f>(((S281+R281)*ROUND((FY281*IF((0=0),(1*IF(1,1,1)),1)),0))/100)</f>
        <v>123.66599999999998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1007</v>
      </c>
      <c r="DV281" t="s">
        <v>21</v>
      </c>
      <c r="DW281" t="s">
        <v>21</v>
      </c>
      <c r="DX281">
        <v>100</v>
      </c>
      <c r="EE281">
        <v>39191009</v>
      </c>
      <c r="EF281">
        <v>6</v>
      </c>
      <c r="EG281" t="s">
        <v>23</v>
      </c>
      <c r="EH281">
        <v>0</v>
      </c>
      <c r="EI281" t="s">
        <v>3</v>
      </c>
      <c r="EJ281">
        <v>1</v>
      </c>
      <c r="EK281">
        <v>68001</v>
      </c>
      <c r="EL281" t="s">
        <v>24</v>
      </c>
      <c r="EM281" t="s">
        <v>25</v>
      </c>
      <c r="EO281" t="s">
        <v>3</v>
      </c>
      <c r="EQ281">
        <v>0</v>
      </c>
      <c r="ER281">
        <v>5623.67</v>
      </c>
      <c r="ES281">
        <v>0</v>
      </c>
      <c r="ET281">
        <v>3978.62</v>
      </c>
      <c r="EU281">
        <v>415.97</v>
      </c>
      <c r="EV281">
        <v>1645.05</v>
      </c>
      <c r="EW281">
        <v>243.35</v>
      </c>
      <c r="EX281">
        <v>41.39</v>
      </c>
      <c r="EY281">
        <v>0</v>
      </c>
      <c r="FQ281">
        <v>0</v>
      </c>
      <c r="FR281">
        <f t="shared" si="207"/>
        <v>0</v>
      </c>
      <c r="FS281">
        <v>0</v>
      </c>
      <c r="FX281">
        <v>104</v>
      </c>
      <c r="FY281">
        <v>60</v>
      </c>
      <c r="GA281" t="s">
        <v>3</v>
      </c>
      <c r="GD281">
        <v>1</v>
      </c>
      <c r="GF281">
        <v>836996749</v>
      </c>
      <c r="GG281">
        <v>2</v>
      </c>
      <c r="GH281">
        <v>0</v>
      </c>
      <c r="GI281">
        <v>0</v>
      </c>
      <c r="GJ281">
        <v>0</v>
      </c>
      <c r="GK281">
        <v>0</v>
      </c>
      <c r="GL281">
        <f t="shared" si="208"/>
        <v>0</v>
      </c>
      <c r="GM281">
        <f t="shared" si="209"/>
        <v>900.39</v>
      </c>
      <c r="GN281">
        <f t="shared" si="210"/>
        <v>900.39</v>
      </c>
      <c r="GO281">
        <f t="shared" si="211"/>
        <v>0</v>
      </c>
      <c r="GP281">
        <f t="shared" si="212"/>
        <v>0</v>
      </c>
      <c r="GR281">
        <v>0</v>
      </c>
      <c r="GS281">
        <v>0</v>
      </c>
      <c r="GT281">
        <v>0</v>
      </c>
      <c r="GU281" t="s">
        <v>3</v>
      </c>
      <c r="GV281">
        <f t="shared" si="213"/>
        <v>0</v>
      </c>
      <c r="GW281">
        <v>1</v>
      </c>
      <c r="GX281">
        <f t="shared" si="214"/>
        <v>0</v>
      </c>
      <c r="HA281">
        <v>0</v>
      </c>
      <c r="HB281">
        <v>0</v>
      </c>
      <c r="HC281">
        <f t="shared" si="215"/>
        <v>0</v>
      </c>
      <c r="IK281">
        <v>0</v>
      </c>
    </row>
    <row r="282" spans="1:245" x14ac:dyDescent="0.2">
      <c r="A282">
        <v>17</v>
      </c>
      <c r="B282">
        <v>1</v>
      </c>
      <c r="E282" t="s">
        <v>254</v>
      </c>
      <c r="F282" t="s">
        <v>48</v>
      </c>
      <c r="G282" t="s">
        <v>49</v>
      </c>
      <c r="H282" t="s">
        <v>50</v>
      </c>
      <c r="I282">
        <v>22</v>
      </c>
      <c r="J282">
        <v>0</v>
      </c>
      <c r="O282">
        <f t="shared" si="184"/>
        <v>77.44</v>
      </c>
      <c r="P282">
        <f t="shared" si="185"/>
        <v>0</v>
      </c>
      <c r="Q282">
        <f t="shared" si="186"/>
        <v>77.44</v>
      </c>
      <c r="R282">
        <f t="shared" si="187"/>
        <v>0</v>
      </c>
      <c r="S282">
        <f t="shared" si="188"/>
        <v>0</v>
      </c>
      <c r="T282">
        <f t="shared" si="189"/>
        <v>0</v>
      </c>
      <c r="U282">
        <f t="shared" si="190"/>
        <v>0</v>
      </c>
      <c r="V282">
        <f t="shared" si="191"/>
        <v>0</v>
      </c>
      <c r="W282">
        <f t="shared" si="192"/>
        <v>0</v>
      </c>
      <c r="X282">
        <f t="shared" si="193"/>
        <v>0</v>
      </c>
      <c r="Y282">
        <f t="shared" si="194"/>
        <v>0</v>
      </c>
      <c r="AA282">
        <v>39201625</v>
      </c>
      <c r="AB282">
        <f t="shared" si="195"/>
        <v>3.52</v>
      </c>
      <c r="AC282">
        <f t="shared" si="216"/>
        <v>0</v>
      </c>
      <c r="AD282">
        <f>ROUND(((ET282)+ROUND(((EU282)*1.6),2)),2)</f>
        <v>3.52</v>
      </c>
      <c r="AE282">
        <f>ROUND(((EU282)+ROUND(((EU282)*1.6),2)),2)</f>
        <v>0</v>
      </c>
      <c r="AF282">
        <f>ROUND(((EV282)+ROUND(((EV282)*1.6),2)),2)</f>
        <v>0</v>
      </c>
      <c r="AG282">
        <f t="shared" si="196"/>
        <v>0</v>
      </c>
      <c r="AH282">
        <f t="shared" si="217"/>
        <v>0</v>
      </c>
      <c r="AI282">
        <f t="shared" si="217"/>
        <v>0</v>
      </c>
      <c r="AJ282">
        <f t="shared" si="197"/>
        <v>0</v>
      </c>
      <c r="AK282">
        <v>3.52</v>
      </c>
      <c r="AL282">
        <v>0</v>
      </c>
      <c r="AM282">
        <v>3.52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1</v>
      </c>
      <c r="BJ282" t="s">
        <v>51</v>
      </c>
      <c r="BM282">
        <v>700004</v>
      </c>
      <c r="BN282">
        <v>0</v>
      </c>
      <c r="BO282" t="s">
        <v>3</v>
      </c>
      <c r="BP282">
        <v>0</v>
      </c>
      <c r="BQ282">
        <v>19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0</v>
      </c>
      <c r="CA282">
        <v>0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98"/>
        <v>77.44</v>
      </c>
      <c r="CQ282">
        <f t="shared" si="199"/>
        <v>0</v>
      </c>
      <c r="CR282">
        <f t="shared" si="200"/>
        <v>3.52</v>
      </c>
      <c r="CS282">
        <f t="shared" si="201"/>
        <v>0</v>
      </c>
      <c r="CT282">
        <f t="shared" si="202"/>
        <v>0</v>
      </c>
      <c r="CU282">
        <f t="shared" si="203"/>
        <v>0</v>
      </c>
      <c r="CV282">
        <f t="shared" si="204"/>
        <v>0</v>
      </c>
      <c r="CW282">
        <f t="shared" si="205"/>
        <v>0</v>
      </c>
      <c r="CX282">
        <f t="shared" si="206"/>
        <v>0</v>
      </c>
      <c r="CY282">
        <f>(((S282+R282)*ROUND(FX282,0))/100)</f>
        <v>0</v>
      </c>
      <c r="CZ282">
        <f>(((S282+R282)*ROUND(FY282,0))/100)</f>
        <v>0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1013</v>
      </c>
      <c r="DV282" t="s">
        <v>50</v>
      </c>
      <c r="DW282" t="s">
        <v>50</v>
      </c>
      <c r="DX282">
        <v>1</v>
      </c>
      <c r="EE282">
        <v>39191089</v>
      </c>
      <c r="EF282">
        <v>19</v>
      </c>
      <c r="EG282" t="s">
        <v>52</v>
      </c>
      <c r="EH282">
        <v>0</v>
      </c>
      <c r="EI282" t="s">
        <v>3</v>
      </c>
      <c r="EJ282">
        <v>1</v>
      </c>
      <c r="EK282">
        <v>700004</v>
      </c>
      <c r="EL282" t="s">
        <v>53</v>
      </c>
      <c r="EM282" t="s">
        <v>54</v>
      </c>
      <c r="EO282" t="s">
        <v>3</v>
      </c>
      <c r="EQ282">
        <v>0</v>
      </c>
      <c r="ER282">
        <v>3.52</v>
      </c>
      <c r="ES282">
        <v>0</v>
      </c>
      <c r="ET282">
        <v>3.52</v>
      </c>
      <c r="EU282">
        <v>0</v>
      </c>
      <c r="EV282">
        <v>0</v>
      </c>
      <c r="EW282">
        <v>0</v>
      </c>
      <c r="EX282">
        <v>0</v>
      </c>
      <c r="EY282">
        <v>0</v>
      </c>
      <c r="FQ282">
        <v>0</v>
      </c>
      <c r="FR282">
        <f t="shared" si="207"/>
        <v>0</v>
      </c>
      <c r="FS282">
        <v>0</v>
      </c>
      <c r="FX282">
        <v>0</v>
      </c>
      <c r="FY282">
        <v>0</v>
      </c>
      <c r="GA282" t="s">
        <v>3</v>
      </c>
      <c r="GD282">
        <v>1</v>
      </c>
      <c r="GF282">
        <v>1664035000</v>
      </c>
      <c r="GG282">
        <v>2</v>
      </c>
      <c r="GH282">
        <v>0</v>
      </c>
      <c r="GI282">
        <v>0</v>
      </c>
      <c r="GJ282">
        <v>0</v>
      </c>
      <c r="GK282">
        <v>0</v>
      </c>
      <c r="GL282">
        <f t="shared" si="208"/>
        <v>0</v>
      </c>
      <c r="GM282">
        <f t="shared" si="209"/>
        <v>77.44</v>
      </c>
      <c r="GN282">
        <f t="shared" si="210"/>
        <v>77.44</v>
      </c>
      <c r="GO282">
        <f t="shared" si="211"/>
        <v>0</v>
      </c>
      <c r="GP282">
        <f t="shared" si="212"/>
        <v>0</v>
      </c>
      <c r="GR282">
        <v>0</v>
      </c>
      <c r="GS282">
        <v>0</v>
      </c>
      <c r="GT282">
        <v>0</v>
      </c>
      <c r="GU282" t="s">
        <v>3</v>
      </c>
      <c r="GV282">
        <f t="shared" si="213"/>
        <v>0</v>
      </c>
      <c r="GW282">
        <v>1</v>
      </c>
      <c r="GX282">
        <f t="shared" si="214"/>
        <v>0</v>
      </c>
      <c r="HA282">
        <v>0</v>
      </c>
      <c r="HB282">
        <v>0</v>
      </c>
      <c r="HC282">
        <f t="shared" si="215"/>
        <v>0</v>
      </c>
      <c r="HD282">
        <f>GM282</f>
        <v>77.44</v>
      </c>
      <c r="IK282">
        <v>0</v>
      </c>
    </row>
    <row r="283" spans="1:245" x14ac:dyDescent="0.2">
      <c r="A283">
        <v>17</v>
      </c>
      <c r="B283">
        <v>1</v>
      </c>
      <c r="E283" t="s">
        <v>255</v>
      </c>
      <c r="F283" t="s">
        <v>56</v>
      </c>
      <c r="G283" t="s">
        <v>57</v>
      </c>
      <c r="H283" t="s">
        <v>50</v>
      </c>
      <c r="I283">
        <v>22</v>
      </c>
      <c r="J283">
        <v>0</v>
      </c>
      <c r="O283">
        <f t="shared" si="184"/>
        <v>146.30000000000001</v>
      </c>
      <c r="P283">
        <f t="shared" si="185"/>
        <v>0</v>
      </c>
      <c r="Q283">
        <f t="shared" si="186"/>
        <v>146.30000000000001</v>
      </c>
      <c r="R283">
        <f t="shared" si="187"/>
        <v>0</v>
      </c>
      <c r="S283">
        <f t="shared" si="188"/>
        <v>0</v>
      </c>
      <c r="T283">
        <f t="shared" si="189"/>
        <v>0</v>
      </c>
      <c r="U283">
        <f t="shared" si="190"/>
        <v>0</v>
      </c>
      <c r="V283">
        <f t="shared" si="191"/>
        <v>0</v>
      </c>
      <c r="W283">
        <f t="shared" si="192"/>
        <v>0</v>
      </c>
      <c r="X283">
        <f t="shared" si="193"/>
        <v>0</v>
      </c>
      <c r="Y283">
        <f t="shared" si="194"/>
        <v>0</v>
      </c>
      <c r="AA283">
        <v>39201625</v>
      </c>
      <c r="AB283">
        <f t="shared" si="195"/>
        <v>6.65</v>
      </c>
      <c r="AC283">
        <f t="shared" si="216"/>
        <v>0</v>
      </c>
      <c r="AD283">
        <f>ROUND(((ET283)+ROUND(((EU283)*1.85),2)),2)</f>
        <v>6.65</v>
      </c>
      <c r="AE283">
        <f>ROUND(((EU283)+ROUND(((EU283)*1.85),2)),2)</f>
        <v>0</v>
      </c>
      <c r="AF283">
        <f>ROUND(((EV283)+ROUND(((EV283)*1.85),2)),2)</f>
        <v>0</v>
      </c>
      <c r="AG283">
        <f t="shared" si="196"/>
        <v>0</v>
      </c>
      <c r="AH283">
        <f t="shared" si="217"/>
        <v>0</v>
      </c>
      <c r="AI283">
        <f t="shared" si="217"/>
        <v>0</v>
      </c>
      <c r="AJ283">
        <f t="shared" si="197"/>
        <v>0</v>
      </c>
      <c r="AK283">
        <v>6.65</v>
      </c>
      <c r="AL283">
        <v>0</v>
      </c>
      <c r="AM283">
        <v>6.65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1</v>
      </c>
      <c r="BJ283" t="s">
        <v>58</v>
      </c>
      <c r="BM283">
        <v>700001</v>
      </c>
      <c r="BN283">
        <v>0</v>
      </c>
      <c r="BO283" t="s">
        <v>3</v>
      </c>
      <c r="BP283">
        <v>0</v>
      </c>
      <c r="BQ283">
        <v>10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0</v>
      </c>
      <c r="CA283">
        <v>0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198"/>
        <v>146.30000000000001</v>
      </c>
      <c r="CQ283">
        <f t="shared" si="199"/>
        <v>0</v>
      </c>
      <c r="CR283">
        <f t="shared" si="200"/>
        <v>6.65</v>
      </c>
      <c r="CS283">
        <f t="shared" si="201"/>
        <v>0</v>
      </c>
      <c r="CT283">
        <f t="shared" si="202"/>
        <v>0</v>
      </c>
      <c r="CU283">
        <f t="shared" si="203"/>
        <v>0</v>
      </c>
      <c r="CV283">
        <f t="shared" si="204"/>
        <v>0</v>
      </c>
      <c r="CW283">
        <f t="shared" si="205"/>
        <v>0</v>
      </c>
      <c r="CX283">
        <f t="shared" si="206"/>
        <v>0</v>
      </c>
      <c r="CY283">
        <f>(((S283+R283)*ROUND(FX283,0))/100)</f>
        <v>0</v>
      </c>
      <c r="CZ283">
        <f>(((S283+R283)*ROUND(FY283,0))/100)</f>
        <v>0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1013</v>
      </c>
      <c r="DV283" t="s">
        <v>50</v>
      </c>
      <c r="DW283" t="s">
        <v>50</v>
      </c>
      <c r="DX283">
        <v>1</v>
      </c>
      <c r="EE283">
        <v>39191086</v>
      </c>
      <c r="EF283">
        <v>10</v>
      </c>
      <c r="EG283" t="s">
        <v>59</v>
      </c>
      <c r="EH283">
        <v>0</v>
      </c>
      <c r="EI283" t="s">
        <v>3</v>
      </c>
      <c r="EJ283">
        <v>1</v>
      </c>
      <c r="EK283">
        <v>700001</v>
      </c>
      <c r="EL283" t="s">
        <v>60</v>
      </c>
      <c r="EM283" t="s">
        <v>61</v>
      </c>
      <c r="EO283" t="s">
        <v>3</v>
      </c>
      <c r="EQ283">
        <v>0</v>
      </c>
      <c r="ER283">
        <v>6.65</v>
      </c>
      <c r="ES283">
        <v>0</v>
      </c>
      <c r="ET283">
        <v>6.65</v>
      </c>
      <c r="EU283">
        <v>0</v>
      </c>
      <c r="EV283">
        <v>0</v>
      </c>
      <c r="EW283">
        <v>0</v>
      </c>
      <c r="EX283">
        <v>0</v>
      </c>
      <c r="EY283">
        <v>0</v>
      </c>
      <c r="FQ283">
        <v>0</v>
      </c>
      <c r="FR283">
        <f t="shared" si="207"/>
        <v>0</v>
      </c>
      <c r="FS283">
        <v>0</v>
      </c>
      <c r="FX283">
        <v>0</v>
      </c>
      <c r="FY283">
        <v>0</v>
      </c>
      <c r="GA283" t="s">
        <v>3</v>
      </c>
      <c r="GD283">
        <v>1</v>
      </c>
      <c r="GF283">
        <v>-811322024</v>
      </c>
      <c r="GG283">
        <v>2</v>
      </c>
      <c r="GH283">
        <v>0</v>
      </c>
      <c r="GI283">
        <v>0</v>
      </c>
      <c r="GJ283">
        <v>0</v>
      </c>
      <c r="GK283">
        <v>0</v>
      </c>
      <c r="GL283">
        <f t="shared" si="208"/>
        <v>0</v>
      </c>
      <c r="GM283">
        <f t="shared" si="209"/>
        <v>146.30000000000001</v>
      </c>
      <c r="GN283">
        <f t="shared" si="210"/>
        <v>146.30000000000001</v>
      </c>
      <c r="GO283">
        <f t="shared" si="211"/>
        <v>0</v>
      </c>
      <c r="GP283">
        <f t="shared" si="212"/>
        <v>0</v>
      </c>
      <c r="GR283">
        <v>0</v>
      </c>
      <c r="GS283">
        <v>0</v>
      </c>
      <c r="GT283">
        <v>0</v>
      </c>
      <c r="GU283" t="s">
        <v>3</v>
      </c>
      <c r="GV283">
        <f t="shared" si="213"/>
        <v>0</v>
      </c>
      <c r="GW283">
        <v>1</v>
      </c>
      <c r="GX283">
        <f t="shared" si="214"/>
        <v>0</v>
      </c>
      <c r="HA283">
        <v>0</v>
      </c>
      <c r="HB283">
        <v>0</v>
      </c>
      <c r="HC283">
        <f t="shared" si="215"/>
        <v>0</v>
      </c>
      <c r="HD283">
        <f>GM283</f>
        <v>146.30000000000001</v>
      </c>
      <c r="IK283">
        <v>0</v>
      </c>
    </row>
    <row r="284" spans="1:245" x14ac:dyDescent="0.2">
      <c r="A284">
        <v>17</v>
      </c>
      <c r="B284">
        <v>1</v>
      </c>
      <c r="C284">
        <f>ROW(SmtRes!A160)</f>
        <v>160</v>
      </c>
      <c r="D284">
        <f>ROW(EtalonRes!A163)</f>
        <v>163</v>
      </c>
      <c r="E284" t="s">
        <v>256</v>
      </c>
      <c r="F284" t="s">
        <v>257</v>
      </c>
      <c r="G284" t="s">
        <v>258</v>
      </c>
      <c r="H284" t="s">
        <v>224</v>
      </c>
      <c r="I284">
        <f>ROUND(2.771/100,4)</f>
        <v>2.7699999999999999E-2</v>
      </c>
      <c r="J284">
        <v>0</v>
      </c>
      <c r="O284">
        <f t="shared" si="184"/>
        <v>1576.3</v>
      </c>
      <c r="P284">
        <f t="shared" si="185"/>
        <v>1489.48</v>
      </c>
      <c r="Q284">
        <f t="shared" si="186"/>
        <v>60.99</v>
      </c>
      <c r="R284">
        <f t="shared" si="187"/>
        <v>8.89</v>
      </c>
      <c r="S284">
        <f t="shared" si="188"/>
        <v>25.83</v>
      </c>
      <c r="T284">
        <f t="shared" si="189"/>
        <v>0</v>
      </c>
      <c r="U284">
        <f t="shared" si="190"/>
        <v>3.7213010999999994</v>
      </c>
      <c r="V284">
        <f t="shared" si="191"/>
        <v>0.67310999999999999</v>
      </c>
      <c r="W284">
        <f t="shared" si="192"/>
        <v>0</v>
      </c>
      <c r="X284">
        <f t="shared" si="193"/>
        <v>36.46</v>
      </c>
      <c r="Y284">
        <f t="shared" si="194"/>
        <v>19.100000000000001</v>
      </c>
      <c r="AA284">
        <v>39201625</v>
      </c>
      <c r="AB284">
        <f t="shared" si="195"/>
        <v>56905.75</v>
      </c>
      <c r="AC284">
        <f t="shared" si="216"/>
        <v>53771.75</v>
      </c>
      <c r="AD284">
        <f>ROUND(((((ET284*1.25))-((EU284*1.25)))+AE284),2)</f>
        <v>2201.66</v>
      </c>
      <c r="AE284">
        <f>ROUND(((EU284*1.25)),2)</f>
        <v>321</v>
      </c>
      <c r="AF284">
        <f>ROUND(((EV284*1.15)),2)</f>
        <v>932.34</v>
      </c>
      <c r="AG284">
        <f t="shared" si="196"/>
        <v>0</v>
      </c>
      <c r="AH284">
        <f>((EW284*1.15))</f>
        <v>134.34299999999999</v>
      </c>
      <c r="AI284">
        <f>((EX284*1.25))</f>
        <v>24.3</v>
      </c>
      <c r="AJ284">
        <f t="shared" si="197"/>
        <v>0</v>
      </c>
      <c r="AK284">
        <v>56343.81</v>
      </c>
      <c r="AL284">
        <v>53771.75</v>
      </c>
      <c r="AM284">
        <v>1761.33</v>
      </c>
      <c r="AN284">
        <v>256.8</v>
      </c>
      <c r="AO284">
        <v>810.73</v>
      </c>
      <c r="AP284">
        <v>0</v>
      </c>
      <c r="AQ284">
        <v>116.82</v>
      </c>
      <c r="AR284">
        <v>19.440000000000001</v>
      </c>
      <c r="AS284">
        <v>0</v>
      </c>
      <c r="AT284">
        <v>105</v>
      </c>
      <c r="AU284">
        <v>55</v>
      </c>
      <c r="AV284">
        <v>1</v>
      </c>
      <c r="AW284">
        <v>1</v>
      </c>
      <c r="AZ284">
        <v>1</v>
      </c>
      <c r="BA284">
        <v>1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0</v>
      </c>
      <c r="BI284">
        <v>1</v>
      </c>
      <c r="BJ284" t="s">
        <v>259</v>
      </c>
      <c r="BM284">
        <v>6001</v>
      </c>
      <c r="BN284">
        <v>0</v>
      </c>
      <c r="BO284" t="s">
        <v>3</v>
      </c>
      <c r="BP284">
        <v>0</v>
      </c>
      <c r="BQ284">
        <v>2</v>
      </c>
      <c r="BR284">
        <v>0</v>
      </c>
      <c r="BS284">
        <v>1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105</v>
      </c>
      <c r="CA284">
        <v>65</v>
      </c>
      <c r="CE284">
        <v>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198"/>
        <v>1576.3</v>
      </c>
      <c r="CQ284">
        <f t="shared" si="199"/>
        <v>53771.75</v>
      </c>
      <c r="CR284">
        <f t="shared" si="200"/>
        <v>2201.66</v>
      </c>
      <c r="CS284">
        <f t="shared" si="201"/>
        <v>321</v>
      </c>
      <c r="CT284">
        <f t="shared" si="202"/>
        <v>932.34</v>
      </c>
      <c r="CU284">
        <f t="shared" si="203"/>
        <v>0</v>
      </c>
      <c r="CV284">
        <f t="shared" si="204"/>
        <v>134.34299999999999</v>
      </c>
      <c r="CW284">
        <f t="shared" si="205"/>
        <v>24.3</v>
      </c>
      <c r="CX284">
        <f t="shared" si="206"/>
        <v>0</v>
      </c>
      <c r="CY284">
        <f t="shared" ref="CY284:CY294" si="218">(((S284+R284)*ROUND((FX284*IF((0=0),(IF(0,1,1)*1*IF(1,1,1)),1)),0))/100)</f>
        <v>36.455999999999996</v>
      </c>
      <c r="CZ284">
        <f t="shared" ref="CZ284:CZ294" si="219">(((S284+R284)*ROUND((FY284*IF((0=0),(1*IF(1,1,1)),1)),0))/100)</f>
        <v>19.096</v>
      </c>
      <c r="DC284" t="s">
        <v>3</v>
      </c>
      <c r="DD284" t="s">
        <v>3</v>
      </c>
      <c r="DE284" t="s">
        <v>138</v>
      </c>
      <c r="DF284" t="s">
        <v>138</v>
      </c>
      <c r="DG284" t="s">
        <v>139</v>
      </c>
      <c r="DH284" t="s">
        <v>3</v>
      </c>
      <c r="DI284" t="s">
        <v>139</v>
      </c>
      <c r="DJ284" t="s">
        <v>138</v>
      </c>
      <c r="DK284" t="s">
        <v>3</v>
      </c>
      <c r="DL284" t="s">
        <v>3</v>
      </c>
      <c r="DM284" t="s">
        <v>3</v>
      </c>
      <c r="DN284">
        <v>0</v>
      </c>
      <c r="DO284">
        <v>0</v>
      </c>
      <c r="DP284">
        <v>1</v>
      </c>
      <c r="DQ284">
        <v>1</v>
      </c>
      <c r="DU284">
        <v>1013</v>
      </c>
      <c r="DV284" t="s">
        <v>224</v>
      </c>
      <c r="DW284" t="s">
        <v>224</v>
      </c>
      <c r="DX284">
        <v>1</v>
      </c>
      <c r="EE284">
        <v>39190889</v>
      </c>
      <c r="EF284">
        <v>2</v>
      </c>
      <c r="EG284" t="s">
        <v>31</v>
      </c>
      <c r="EH284">
        <v>0</v>
      </c>
      <c r="EI284" t="s">
        <v>3</v>
      </c>
      <c r="EJ284">
        <v>1</v>
      </c>
      <c r="EK284">
        <v>6001</v>
      </c>
      <c r="EL284" t="s">
        <v>226</v>
      </c>
      <c r="EM284" t="s">
        <v>227</v>
      </c>
      <c r="EO284" t="s">
        <v>3</v>
      </c>
      <c r="EQ284">
        <v>0</v>
      </c>
      <c r="ER284">
        <v>56343.81</v>
      </c>
      <c r="ES284">
        <v>53771.75</v>
      </c>
      <c r="ET284">
        <v>1761.33</v>
      </c>
      <c r="EU284">
        <v>256.8</v>
      </c>
      <c r="EV284">
        <v>810.73</v>
      </c>
      <c r="EW284">
        <v>116.82</v>
      </c>
      <c r="EX284">
        <v>19.440000000000001</v>
      </c>
      <c r="EY284">
        <v>0</v>
      </c>
      <c r="FQ284">
        <v>0</v>
      </c>
      <c r="FR284">
        <f t="shared" si="207"/>
        <v>0</v>
      </c>
      <c r="FS284">
        <v>0</v>
      </c>
      <c r="FU284" t="s">
        <v>34</v>
      </c>
      <c r="FX284">
        <v>105</v>
      </c>
      <c r="FY284">
        <v>55.25</v>
      </c>
      <c r="GA284" t="s">
        <v>3</v>
      </c>
      <c r="GD284">
        <v>1</v>
      </c>
      <c r="GF284">
        <v>-577622051</v>
      </c>
      <c r="GG284">
        <v>2</v>
      </c>
      <c r="GH284">
        <v>0</v>
      </c>
      <c r="GI284">
        <v>0</v>
      </c>
      <c r="GJ284">
        <v>0</v>
      </c>
      <c r="GK284">
        <v>0</v>
      </c>
      <c r="GL284">
        <f t="shared" si="208"/>
        <v>0</v>
      </c>
      <c r="GM284">
        <f t="shared" si="209"/>
        <v>1631.86</v>
      </c>
      <c r="GN284">
        <f t="shared" si="210"/>
        <v>1631.86</v>
      </c>
      <c r="GO284">
        <f t="shared" si="211"/>
        <v>0</v>
      </c>
      <c r="GP284">
        <f t="shared" si="212"/>
        <v>0</v>
      </c>
      <c r="GR284">
        <v>0</v>
      </c>
      <c r="GS284">
        <v>0</v>
      </c>
      <c r="GT284">
        <v>0</v>
      </c>
      <c r="GU284" t="s">
        <v>3</v>
      </c>
      <c r="GV284">
        <f t="shared" si="213"/>
        <v>0</v>
      </c>
      <c r="GW284">
        <v>1</v>
      </c>
      <c r="GX284">
        <f t="shared" si="214"/>
        <v>0</v>
      </c>
      <c r="HA284">
        <v>0</v>
      </c>
      <c r="HB284">
        <v>0</v>
      </c>
      <c r="HC284">
        <f t="shared" si="215"/>
        <v>0</v>
      </c>
      <c r="IK284">
        <v>0</v>
      </c>
    </row>
    <row r="285" spans="1:245" x14ac:dyDescent="0.2">
      <c r="A285">
        <v>17</v>
      </c>
      <c r="B285">
        <v>1</v>
      </c>
      <c r="C285">
        <f>ROW(SmtRes!A166)</f>
        <v>166</v>
      </c>
      <c r="D285">
        <f>ROW(EtalonRes!A169)</f>
        <v>169</v>
      </c>
      <c r="E285" t="s">
        <v>260</v>
      </c>
      <c r="F285" t="s">
        <v>261</v>
      </c>
      <c r="G285" t="s">
        <v>262</v>
      </c>
      <c r="H285" t="s">
        <v>147</v>
      </c>
      <c r="I285">
        <f>ROUND(0.055,4)</f>
        <v>5.5E-2</v>
      </c>
      <c r="J285">
        <v>0</v>
      </c>
      <c r="O285">
        <f t="shared" si="184"/>
        <v>312.51</v>
      </c>
      <c r="P285">
        <f t="shared" si="185"/>
        <v>304.20999999999998</v>
      </c>
      <c r="Q285">
        <f t="shared" si="186"/>
        <v>2.54</v>
      </c>
      <c r="R285">
        <f t="shared" si="187"/>
        <v>0.15</v>
      </c>
      <c r="S285">
        <f t="shared" si="188"/>
        <v>5.76</v>
      </c>
      <c r="T285">
        <f t="shared" si="189"/>
        <v>0</v>
      </c>
      <c r="U285">
        <f t="shared" si="190"/>
        <v>0.79947999999999997</v>
      </c>
      <c r="V285">
        <f t="shared" si="191"/>
        <v>1.1000000000000001E-2</v>
      </c>
      <c r="W285">
        <f t="shared" si="192"/>
        <v>0</v>
      </c>
      <c r="X285">
        <f t="shared" si="193"/>
        <v>6.21</v>
      </c>
      <c r="Y285">
        <f t="shared" si="194"/>
        <v>3.25</v>
      </c>
      <c r="AA285">
        <v>39201625</v>
      </c>
      <c r="AB285">
        <f t="shared" si="195"/>
        <v>5682.12</v>
      </c>
      <c r="AC285">
        <f t="shared" si="216"/>
        <v>5531.17</v>
      </c>
      <c r="AD285">
        <f>ROUND(((((ET285*1.25))-((EU285*1.25)))+AE285),2)</f>
        <v>46.15</v>
      </c>
      <c r="AE285">
        <f>ROUND(((EU285*1.25)),2)</f>
        <v>2.65</v>
      </c>
      <c r="AF285">
        <f>ROUND(((EV285*1.15)),2)</f>
        <v>104.8</v>
      </c>
      <c r="AG285">
        <f t="shared" si="196"/>
        <v>0</v>
      </c>
      <c r="AH285">
        <f>((EW285*1.15))</f>
        <v>14.536</v>
      </c>
      <c r="AI285">
        <f>((EX285*1.25))</f>
        <v>0.2</v>
      </c>
      <c r="AJ285">
        <f t="shared" si="197"/>
        <v>0</v>
      </c>
      <c r="AK285">
        <v>5659.22</v>
      </c>
      <c r="AL285">
        <v>5531.17</v>
      </c>
      <c r="AM285">
        <v>36.92</v>
      </c>
      <c r="AN285">
        <v>2.12</v>
      </c>
      <c r="AO285">
        <v>91.13</v>
      </c>
      <c r="AP285">
        <v>0</v>
      </c>
      <c r="AQ285">
        <v>12.64</v>
      </c>
      <c r="AR285">
        <v>0.16</v>
      </c>
      <c r="AS285">
        <v>0</v>
      </c>
      <c r="AT285">
        <v>105</v>
      </c>
      <c r="AU285">
        <v>55</v>
      </c>
      <c r="AV285">
        <v>1</v>
      </c>
      <c r="AW285">
        <v>1</v>
      </c>
      <c r="AZ285">
        <v>1</v>
      </c>
      <c r="BA285">
        <v>1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1</v>
      </c>
      <c r="BJ285" t="s">
        <v>263</v>
      </c>
      <c r="BM285">
        <v>6001</v>
      </c>
      <c r="BN285">
        <v>0</v>
      </c>
      <c r="BO285" t="s">
        <v>3</v>
      </c>
      <c r="BP285">
        <v>0</v>
      </c>
      <c r="BQ285">
        <v>2</v>
      </c>
      <c r="BR285">
        <v>0</v>
      </c>
      <c r="BS285">
        <v>1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105</v>
      </c>
      <c r="CA285">
        <v>65</v>
      </c>
      <c r="CE285">
        <v>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198"/>
        <v>312.51</v>
      </c>
      <c r="CQ285">
        <f t="shared" si="199"/>
        <v>5531.17</v>
      </c>
      <c r="CR285">
        <f t="shared" si="200"/>
        <v>46.15</v>
      </c>
      <c r="CS285">
        <f t="shared" si="201"/>
        <v>2.65</v>
      </c>
      <c r="CT285">
        <f t="shared" si="202"/>
        <v>104.8</v>
      </c>
      <c r="CU285">
        <f t="shared" si="203"/>
        <v>0</v>
      </c>
      <c r="CV285">
        <f t="shared" si="204"/>
        <v>14.536</v>
      </c>
      <c r="CW285">
        <f t="shared" si="205"/>
        <v>0.2</v>
      </c>
      <c r="CX285">
        <f t="shared" si="206"/>
        <v>0</v>
      </c>
      <c r="CY285">
        <f t="shared" si="218"/>
        <v>6.2055000000000007</v>
      </c>
      <c r="CZ285">
        <f t="shared" si="219"/>
        <v>3.2505000000000002</v>
      </c>
      <c r="DC285" t="s">
        <v>3</v>
      </c>
      <c r="DD285" t="s">
        <v>3</v>
      </c>
      <c r="DE285" t="s">
        <v>12</v>
      </c>
      <c r="DF285" t="s">
        <v>12</v>
      </c>
      <c r="DG285" t="s">
        <v>13</v>
      </c>
      <c r="DH285" t="s">
        <v>3</v>
      </c>
      <c r="DI285" t="s">
        <v>13</v>
      </c>
      <c r="DJ285" t="s">
        <v>12</v>
      </c>
      <c r="DK285" t="s">
        <v>3</v>
      </c>
      <c r="DL285" t="s">
        <v>3</v>
      </c>
      <c r="DM285" t="s">
        <v>3</v>
      </c>
      <c r="DN285">
        <v>0</v>
      </c>
      <c r="DO285">
        <v>0</v>
      </c>
      <c r="DP285">
        <v>1</v>
      </c>
      <c r="DQ285">
        <v>1</v>
      </c>
      <c r="DU285">
        <v>1013</v>
      </c>
      <c r="DV285" t="s">
        <v>147</v>
      </c>
      <c r="DW285" t="s">
        <v>147</v>
      </c>
      <c r="DX285">
        <v>1</v>
      </c>
      <c r="EE285">
        <v>39190889</v>
      </c>
      <c r="EF285">
        <v>2</v>
      </c>
      <c r="EG285" t="s">
        <v>31</v>
      </c>
      <c r="EH285">
        <v>0</v>
      </c>
      <c r="EI285" t="s">
        <v>3</v>
      </c>
      <c r="EJ285">
        <v>1</v>
      </c>
      <c r="EK285">
        <v>6001</v>
      </c>
      <c r="EL285" t="s">
        <v>226</v>
      </c>
      <c r="EM285" t="s">
        <v>227</v>
      </c>
      <c r="EO285" t="s">
        <v>3</v>
      </c>
      <c r="EQ285">
        <v>0</v>
      </c>
      <c r="ER285">
        <v>5659.22</v>
      </c>
      <c r="ES285">
        <v>5531.17</v>
      </c>
      <c r="ET285">
        <v>36.92</v>
      </c>
      <c r="EU285">
        <v>2.12</v>
      </c>
      <c r="EV285">
        <v>91.13</v>
      </c>
      <c r="EW285">
        <v>12.64</v>
      </c>
      <c r="EX285">
        <v>0.16</v>
      </c>
      <c r="EY285">
        <v>0</v>
      </c>
      <c r="FQ285">
        <v>0</v>
      </c>
      <c r="FR285">
        <f t="shared" si="207"/>
        <v>0</v>
      </c>
      <c r="FS285">
        <v>0</v>
      </c>
      <c r="FU285" t="s">
        <v>34</v>
      </c>
      <c r="FX285">
        <v>105</v>
      </c>
      <c r="FY285">
        <v>55.25</v>
      </c>
      <c r="GA285" t="s">
        <v>3</v>
      </c>
      <c r="GD285">
        <v>1</v>
      </c>
      <c r="GF285">
        <v>-345151644</v>
      </c>
      <c r="GG285">
        <v>2</v>
      </c>
      <c r="GH285">
        <v>0</v>
      </c>
      <c r="GI285">
        <v>0</v>
      </c>
      <c r="GJ285">
        <v>0</v>
      </c>
      <c r="GK285">
        <v>0</v>
      </c>
      <c r="GL285">
        <f t="shared" si="208"/>
        <v>0</v>
      </c>
      <c r="GM285">
        <f t="shared" si="209"/>
        <v>321.97000000000003</v>
      </c>
      <c r="GN285">
        <f t="shared" si="210"/>
        <v>321.97000000000003</v>
      </c>
      <c r="GO285">
        <f t="shared" si="211"/>
        <v>0</v>
      </c>
      <c r="GP285">
        <f t="shared" si="212"/>
        <v>0</v>
      </c>
      <c r="GR285">
        <v>0</v>
      </c>
      <c r="GS285">
        <v>0</v>
      </c>
      <c r="GT285">
        <v>0</v>
      </c>
      <c r="GU285" t="s">
        <v>3</v>
      </c>
      <c r="GV285">
        <f t="shared" si="213"/>
        <v>0</v>
      </c>
      <c r="GW285">
        <v>1</v>
      </c>
      <c r="GX285">
        <f t="shared" si="214"/>
        <v>0</v>
      </c>
      <c r="HA285">
        <v>0</v>
      </c>
      <c r="HB285">
        <v>0</v>
      </c>
      <c r="HC285">
        <f t="shared" si="215"/>
        <v>0</v>
      </c>
      <c r="IK285">
        <v>0</v>
      </c>
    </row>
    <row r="286" spans="1:245" x14ac:dyDescent="0.2">
      <c r="A286">
        <v>17</v>
      </c>
      <c r="B286">
        <v>1</v>
      </c>
      <c r="C286">
        <f>ROW(SmtRes!A174)</f>
        <v>174</v>
      </c>
      <c r="D286">
        <f>ROW(EtalonRes!A177)</f>
        <v>177</v>
      </c>
      <c r="E286" t="s">
        <v>264</v>
      </c>
      <c r="F286" t="s">
        <v>246</v>
      </c>
      <c r="G286" t="s">
        <v>265</v>
      </c>
      <c r="H286" t="s">
        <v>248</v>
      </c>
      <c r="I286">
        <f>ROUND(16/100,4)</f>
        <v>0.16</v>
      </c>
      <c r="J286">
        <v>0</v>
      </c>
      <c r="O286">
        <f t="shared" si="184"/>
        <v>293.82</v>
      </c>
      <c r="P286">
        <f t="shared" si="185"/>
        <v>0</v>
      </c>
      <c r="Q286">
        <f t="shared" si="186"/>
        <v>237.57</v>
      </c>
      <c r="R286">
        <f t="shared" si="187"/>
        <v>64.180000000000007</v>
      </c>
      <c r="S286">
        <f t="shared" si="188"/>
        <v>56.25</v>
      </c>
      <c r="T286">
        <f t="shared" si="189"/>
        <v>0</v>
      </c>
      <c r="U286">
        <f t="shared" si="190"/>
        <v>8.1051999999999982</v>
      </c>
      <c r="V286">
        <f t="shared" si="191"/>
        <v>5.64</v>
      </c>
      <c r="W286">
        <f t="shared" si="192"/>
        <v>0</v>
      </c>
      <c r="X286">
        <f t="shared" si="193"/>
        <v>108.39</v>
      </c>
      <c r="Y286">
        <f t="shared" si="194"/>
        <v>86.71</v>
      </c>
      <c r="AA286">
        <v>39201625</v>
      </c>
      <c r="AB286">
        <f t="shared" si="195"/>
        <v>1836.37</v>
      </c>
      <c r="AC286">
        <f t="shared" si="216"/>
        <v>0</v>
      </c>
      <c r="AD286">
        <f>ROUND(((((ET286*1.25))-((EU286*1.25)))+AE286),2)</f>
        <v>1484.8</v>
      </c>
      <c r="AE286">
        <f>ROUND(((EU286*1.25)),2)</f>
        <v>401.15</v>
      </c>
      <c r="AF286">
        <f>ROUND(((EV286*1.15)),2)</f>
        <v>351.57</v>
      </c>
      <c r="AG286">
        <f t="shared" si="196"/>
        <v>0</v>
      </c>
      <c r="AH286">
        <f>((EW286*1.15))</f>
        <v>50.657499999999992</v>
      </c>
      <c r="AI286">
        <f>((EX286*1.25))</f>
        <v>35.25</v>
      </c>
      <c r="AJ286">
        <f t="shared" si="197"/>
        <v>0</v>
      </c>
      <c r="AK286">
        <v>1493.55</v>
      </c>
      <c r="AL286">
        <v>0</v>
      </c>
      <c r="AM286">
        <v>1187.8399999999999</v>
      </c>
      <c r="AN286">
        <v>320.92</v>
      </c>
      <c r="AO286">
        <v>305.70999999999998</v>
      </c>
      <c r="AP286">
        <v>0</v>
      </c>
      <c r="AQ286">
        <v>44.05</v>
      </c>
      <c r="AR286">
        <v>28.2</v>
      </c>
      <c r="AS286">
        <v>0</v>
      </c>
      <c r="AT286">
        <v>90</v>
      </c>
      <c r="AU286">
        <v>72</v>
      </c>
      <c r="AV286">
        <v>1</v>
      </c>
      <c r="AW286">
        <v>1</v>
      </c>
      <c r="AZ286">
        <v>1</v>
      </c>
      <c r="BA286">
        <v>1</v>
      </c>
      <c r="BB286">
        <v>1</v>
      </c>
      <c r="BC286">
        <v>1</v>
      </c>
      <c r="BD286" t="s">
        <v>3</v>
      </c>
      <c r="BE286" t="s">
        <v>3</v>
      </c>
      <c r="BF286" t="s">
        <v>3</v>
      </c>
      <c r="BG286" t="s">
        <v>3</v>
      </c>
      <c r="BH286">
        <v>0</v>
      </c>
      <c r="BI286">
        <v>1</v>
      </c>
      <c r="BJ286" t="s">
        <v>249</v>
      </c>
      <c r="BM286">
        <v>9001</v>
      </c>
      <c r="BN286">
        <v>0</v>
      </c>
      <c r="BO286" t="s">
        <v>3</v>
      </c>
      <c r="BP286">
        <v>0</v>
      </c>
      <c r="BQ286">
        <v>2</v>
      </c>
      <c r="BR286">
        <v>0</v>
      </c>
      <c r="BS286">
        <v>1</v>
      </c>
      <c r="BT286">
        <v>1</v>
      </c>
      <c r="BU286">
        <v>1</v>
      </c>
      <c r="BV286">
        <v>1</v>
      </c>
      <c r="BW286">
        <v>1</v>
      </c>
      <c r="BX286">
        <v>1</v>
      </c>
      <c r="BY286" t="s">
        <v>3</v>
      </c>
      <c r="BZ286">
        <v>90</v>
      </c>
      <c r="CA286">
        <v>85</v>
      </c>
      <c r="CE286">
        <v>0</v>
      </c>
      <c r="CF286">
        <v>0</v>
      </c>
      <c r="CG286">
        <v>0</v>
      </c>
      <c r="CM286">
        <v>0</v>
      </c>
      <c r="CN286" t="s">
        <v>3</v>
      </c>
      <c r="CO286">
        <v>0</v>
      </c>
      <c r="CP286">
        <f t="shared" si="198"/>
        <v>293.82</v>
      </c>
      <c r="CQ286">
        <f t="shared" si="199"/>
        <v>0</v>
      </c>
      <c r="CR286">
        <f t="shared" si="200"/>
        <v>1484.8</v>
      </c>
      <c r="CS286">
        <f t="shared" si="201"/>
        <v>401.15</v>
      </c>
      <c r="CT286">
        <f t="shared" si="202"/>
        <v>351.57</v>
      </c>
      <c r="CU286">
        <f t="shared" si="203"/>
        <v>0</v>
      </c>
      <c r="CV286">
        <f t="shared" si="204"/>
        <v>50.657499999999992</v>
      </c>
      <c r="CW286">
        <f t="shared" si="205"/>
        <v>35.25</v>
      </c>
      <c r="CX286">
        <f t="shared" si="206"/>
        <v>0</v>
      </c>
      <c r="CY286">
        <f t="shared" si="218"/>
        <v>108.387</v>
      </c>
      <c r="CZ286">
        <f t="shared" si="219"/>
        <v>86.709600000000009</v>
      </c>
      <c r="DC286" t="s">
        <v>3</v>
      </c>
      <c r="DD286" t="s">
        <v>3</v>
      </c>
      <c r="DE286" t="s">
        <v>12</v>
      </c>
      <c r="DF286" t="s">
        <v>12</v>
      </c>
      <c r="DG286" t="s">
        <v>13</v>
      </c>
      <c r="DH286" t="s">
        <v>3</v>
      </c>
      <c r="DI286" t="s">
        <v>13</v>
      </c>
      <c r="DJ286" t="s">
        <v>12</v>
      </c>
      <c r="DK286" t="s">
        <v>3</v>
      </c>
      <c r="DL286" t="s">
        <v>3</v>
      </c>
      <c r="DM286" t="s">
        <v>3</v>
      </c>
      <c r="DN286">
        <v>0</v>
      </c>
      <c r="DO286">
        <v>0</v>
      </c>
      <c r="DP286">
        <v>1</v>
      </c>
      <c r="DQ286">
        <v>1</v>
      </c>
      <c r="DU286">
        <v>1002</v>
      </c>
      <c r="DV286" t="s">
        <v>248</v>
      </c>
      <c r="DW286" t="s">
        <v>248</v>
      </c>
      <c r="DX286">
        <v>1</v>
      </c>
      <c r="EE286">
        <v>39190902</v>
      </c>
      <c r="EF286">
        <v>2</v>
      </c>
      <c r="EG286" t="s">
        <v>31</v>
      </c>
      <c r="EH286">
        <v>0</v>
      </c>
      <c r="EI286" t="s">
        <v>3</v>
      </c>
      <c r="EJ286">
        <v>1</v>
      </c>
      <c r="EK286">
        <v>9001</v>
      </c>
      <c r="EL286" t="s">
        <v>243</v>
      </c>
      <c r="EM286" t="s">
        <v>244</v>
      </c>
      <c r="EO286" t="s">
        <v>3</v>
      </c>
      <c r="EQ286">
        <v>0</v>
      </c>
      <c r="ER286">
        <v>1493.55</v>
      </c>
      <c r="ES286">
        <v>0</v>
      </c>
      <c r="ET286">
        <v>1187.8399999999999</v>
      </c>
      <c r="EU286">
        <v>320.92</v>
      </c>
      <c r="EV286">
        <v>305.70999999999998</v>
      </c>
      <c r="EW286">
        <v>44.05</v>
      </c>
      <c r="EX286">
        <v>28.2</v>
      </c>
      <c r="EY286">
        <v>0</v>
      </c>
      <c r="FQ286">
        <v>0</v>
      </c>
      <c r="FR286">
        <f t="shared" si="207"/>
        <v>0</v>
      </c>
      <c r="FS286">
        <v>0</v>
      </c>
      <c r="FU286" t="s">
        <v>34</v>
      </c>
      <c r="FX286">
        <v>90</v>
      </c>
      <c r="FY286">
        <v>72.25</v>
      </c>
      <c r="GA286" t="s">
        <v>3</v>
      </c>
      <c r="GD286">
        <v>1</v>
      </c>
      <c r="GF286">
        <v>-2071109105</v>
      </c>
      <c r="GG286">
        <v>2</v>
      </c>
      <c r="GH286">
        <v>0</v>
      </c>
      <c r="GI286">
        <v>0</v>
      </c>
      <c r="GJ286">
        <v>0</v>
      </c>
      <c r="GK286">
        <v>0</v>
      </c>
      <c r="GL286">
        <f t="shared" si="208"/>
        <v>0</v>
      </c>
      <c r="GM286">
        <f t="shared" si="209"/>
        <v>488.92</v>
      </c>
      <c r="GN286">
        <f t="shared" si="210"/>
        <v>488.92</v>
      </c>
      <c r="GO286">
        <f t="shared" si="211"/>
        <v>0</v>
      </c>
      <c r="GP286">
        <f t="shared" si="212"/>
        <v>0</v>
      </c>
      <c r="GR286">
        <v>0</v>
      </c>
      <c r="GS286">
        <v>0</v>
      </c>
      <c r="GT286">
        <v>0</v>
      </c>
      <c r="GU286" t="s">
        <v>3</v>
      </c>
      <c r="GV286">
        <f t="shared" si="213"/>
        <v>0</v>
      </c>
      <c r="GW286">
        <v>1</v>
      </c>
      <c r="GX286">
        <f t="shared" si="214"/>
        <v>0</v>
      </c>
      <c r="HA286">
        <v>0</v>
      </c>
      <c r="HB286">
        <v>0</v>
      </c>
      <c r="HC286">
        <f t="shared" si="215"/>
        <v>0</v>
      </c>
      <c r="IK286">
        <v>0</v>
      </c>
    </row>
    <row r="287" spans="1:245" x14ac:dyDescent="0.2">
      <c r="A287">
        <v>18</v>
      </c>
      <c r="B287">
        <v>1</v>
      </c>
      <c r="C287">
        <v>173</v>
      </c>
      <c r="E287" t="s">
        <v>266</v>
      </c>
      <c r="F287" t="s">
        <v>267</v>
      </c>
      <c r="G287" t="s">
        <v>268</v>
      </c>
      <c r="H287" t="s">
        <v>169</v>
      </c>
      <c r="I287">
        <f>I286*J287</f>
        <v>8.4799999999999997E-3</v>
      </c>
      <c r="J287">
        <v>5.2999999999999999E-2</v>
      </c>
      <c r="O287">
        <f t="shared" si="184"/>
        <v>78.790000000000006</v>
      </c>
      <c r="P287">
        <f t="shared" si="185"/>
        <v>78.790000000000006</v>
      </c>
      <c r="Q287">
        <f t="shared" si="186"/>
        <v>0</v>
      </c>
      <c r="R287">
        <f t="shared" si="187"/>
        <v>0</v>
      </c>
      <c r="S287">
        <f t="shared" si="188"/>
        <v>0</v>
      </c>
      <c r="T287">
        <f t="shared" si="189"/>
        <v>0</v>
      </c>
      <c r="U287">
        <f t="shared" si="190"/>
        <v>0</v>
      </c>
      <c r="V287">
        <f t="shared" si="191"/>
        <v>0</v>
      </c>
      <c r="W287">
        <f t="shared" si="192"/>
        <v>0</v>
      </c>
      <c r="X287">
        <f t="shared" si="193"/>
        <v>0</v>
      </c>
      <c r="Y287">
        <f t="shared" si="194"/>
        <v>0</v>
      </c>
      <c r="AA287">
        <v>39201625</v>
      </c>
      <c r="AB287">
        <f t="shared" si="195"/>
        <v>9291.35</v>
      </c>
      <c r="AC287">
        <f t="shared" si="216"/>
        <v>9291.35</v>
      </c>
      <c r="AD287">
        <f>ROUND((((ET287)-(EU287))+AE287),2)</f>
        <v>0</v>
      </c>
      <c r="AE287">
        <f>ROUND((EU287),2)</f>
        <v>0</v>
      </c>
      <c r="AF287">
        <f>ROUND((EV287),2)</f>
        <v>0</v>
      </c>
      <c r="AG287">
        <f t="shared" si="196"/>
        <v>0</v>
      </c>
      <c r="AH287">
        <f>(EW287)</f>
        <v>0</v>
      </c>
      <c r="AI287">
        <f>(EX287)</f>
        <v>0</v>
      </c>
      <c r="AJ287">
        <f t="shared" si="197"/>
        <v>0</v>
      </c>
      <c r="AK287">
        <v>9291.35</v>
      </c>
      <c r="AL287">
        <v>9291.35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90</v>
      </c>
      <c r="AU287">
        <v>72</v>
      </c>
      <c r="AV287">
        <v>1</v>
      </c>
      <c r="AW287">
        <v>1</v>
      </c>
      <c r="AZ287">
        <v>1</v>
      </c>
      <c r="BA287">
        <v>1</v>
      </c>
      <c r="BB287">
        <v>1</v>
      </c>
      <c r="BC287">
        <v>1</v>
      </c>
      <c r="BD287" t="s">
        <v>3</v>
      </c>
      <c r="BE287" t="s">
        <v>3</v>
      </c>
      <c r="BF287" t="s">
        <v>3</v>
      </c>
      <c r="BG287" t="s">
        <v>3</v>
      </c>
      <c r="BH287">
        <v>3</v>
      </c>
      <c r="BI287">
        <v>1</v>
      </c>
      <c r="BJ287" t="s">
        <v>269</v>
      </c>
      <c r="BM287">
        <v>9001</v>
      </c>
      <c r="BN287">
        <v>0</v>
      </c>
      <c r="BO287" t="s">
        <v>3</v>
      </c>
      <c r="BP287">
        <v>0</v>
      </c>
      <c r="BQ287">
        <v>2</v>
      </c>
      <c r="BR287">
        <v>0</v>
      </c>
      <c r="BS287">
        <v>1</v>
      </c>
      <c r="BT287">
        <v>1</v>
      </c>
      <c r="BU287">
        <v>1</v>
      </c>
      <c r="BV287">
        <v>1</v>
      </c>
      <c r="BW287">
        <v>1</v>
      </c>
      <c r="BX287">
        <v>1</v>
      </c>
      <c r="BY287" t="s">
        <v>3</v>
      </c>
      <c r="BZ287">
        <v>90</v>
      </c>
      <c r="CA287">
        <v>85</v>
      </c>
      <c r="CE287">
        <v>0</v>
      </c>
      <c r="CF287">
        <v>0</v>
      </c>
      <c r="CG287">
        <v>0</v>
      </c>
      <c r="CM287">
        <v>0</v>
      </c>
      <c r="CN287" t="s">
        <v>3</v>
      </c>
      <c r="CO287">
        <v>0</v>
      </c>
      <c r="CP287">
        <f t="shared" si="198"/>
        <v>78.790000000000006</v>
      </c>
      <c r="CQ287">
        <f t="shared" si="199"/>
        <v>9291.35</v>
      </c>
      <c r="CR287">
        <f t="shared" si="200"/>
        <v>0</v>
      </c>
      <c r="CS287">
        <f t="shared" si="201"/>
        <v>0</v>
      </c>
      <c r="CT287">
        <f t="shared" si="202"/>
        <v>0</v>
      </c>
      <c r="CU287">
        <f t="shared" si="203"/>
        <v>0</v>
      </c>
      <c r="CV287">
        <f t="shared" si="204"/>
        <v>0</v>
      </c>
      <c r="CW287">
        <f t="shared" si="205"/>
        <v>0</v>
      </c>
      <c r="CX287">
        <f t="shared" si="206"/>
        <v>0</v>
      </c>
      <c r="CY287">
        <f t="shared" si="218"/>
        <v>0</v>
      </c>
      <c r="CZ287">
        <f t="shared" si="219"/>
        <v>0</v>
      </c>
      <c r="DC287" t="s">
        <v>3</v>
      </c>
      <c r="DD287" t="s">
        <v>3</v>
      </c>
      <c r="DE287" t="s">
        <v>3</v>
      </c>
      <c r="DF287" t="s">
        <v>3</v>
      </c>
      <c r="DG287" t="s">
        <v>3</v>
      </c>
      <c r="DH287" t="s">
        <v>3</v>
      </c>
      <c r="DI287" t="s">
        <v>3</v>
      </c>
      <c r="DJ287" t="s">
        <v>3</v>
      </c>
      <c r="DK287" t="s">
        <v>3</v>
      </c>
      <c r="DL287" t="s">
        <v>3</v>
      </c>
      <c r="DM287" t="s">
        <v>3</v>
      </c>
      <c r="DN287">
        <v>0</v>
      </c>
      <c r="DO287">
        <v>0</v>
      </c>
      <c r="DP287">
        <v>1</v>
      </c>
      <c r="DQ287">
        <v>1</v>
      </c>
      <c r="DU287">
        <v>1009</v>
      </c>
      <c r="DV287" t="s">
        <v>169</v>
      </c>
      <c r="DW287" t="s">
        <v>169</v>
      </c>
      <c r="DX287">
        <v>1000</v>
      </c>
      <c r="EE287">
        <v>39190902</v>
      </c>
      <c r="EF287">
        <v>2</v>
      </c>
      <c r="EG287" t="s">
        <v>31</v>
      </c>
      <c r="EH287">
        <v>0</v>
      </c>
      <c r="EI287" t="s">
        <v>3</v>
      </c>
      <c r="EJ287">
        <v>1</v>
      </c>
      <c r="EK287">
        <v>9001</v>
      </c>
      <c r="EL287" t="s">
        <v>243</v>
      </c>
      <c r="EM287" t="s">
        <v>244</v>
      </c>
      <c r="EO287" t="s">
        <v>3</v>
      </c>
      <c r="EQ287">
        <v>0</v>
      </c>
      <c r="ER287">
        <v>9291.35</v>
      </c>
      <c r="ES287">
        <v>9291.35</v>
      </c>
      <c r="ET287">
        <v>0</v>
      </c>
      <c r="EU287">
        <v>0</v>
      </c>
      <c r="EV287">
        <v>0</v>
      </c>
      <c r="EW287">
        <v>0</v>
      </c>
      <c r="EX287">
        <v>0</v>
      </c>
      <c r="FQ287">
        <v>0</v>
      </c>
      <c r="FR287">
        <f t="shared" si="207"/>
        <v>0</v>
      </c>
      <c r="FS287">
        <v>0</v>
      </c>
      <c r="FU287" t="s">
        <v>34</v>
      </c>
      <c r="FX287">
        <v>90</v>
      </c>
      <c r="FY287">
        <v>72.25</v>
      </c>
      <c r="GA287" t="s">
        <v>3</v>
      </c>
      <c r="GD287">
        <v>1</v>
      </c>
      <c r="GF287">
        <v>1866978246</v>
      </c>
      <c r="GG287">
        <v>2</v>
      </c>
      <c r="GH287">
        <v>0</v>
      </c>
      <c r="GI287">
        <v>0</v>
      </c>
      <c r="GJ287">
        <v>0</v>
      </c>
      <c r="GK287">
        <v>0</v>
      </c>
      <c r="GL287">
        <f t="shared" si="208"/>
        <v>0</v>
      </c>
      <c r="GM287">
        <f t="shared" si="209"/>
        <v>78.790000000000006</v>
      </c>
      <c r="GN287">
        <f t="shared" si="210"/>
        <v>78.790000000000006</v>
      </c>
      <c r="GO287">
        <f t="shared" si="211"/>
        <v>0</v>
      </c>
      <c r="GP287">
        <f t="shared" si="212"/>
        <v>0</v>
      </c>
      <c r="GR287">
        <v>0</v>
      </c>
      <c r="GS287">
        <v>0</v>
      </c>
      <c r="GT287">
        <v>0</v>
      </c>
      <c r="GU287" t="s">
        <v>3</v>
      </c>
      <c r="GV287">
        <f t="shared" si="213"/>
        <v>0</v>
      </c>
      <c r="GW287">
        <v>1</v>
      </c>
      <c r="GX287">
        <f t="shared" si="214"/>
        <v>0</v>
      </c>
      <c r="HA287">
        <v>0</v>
      </c>
      <c r="HB287">
        <v>0</v>
      </c>
      <c r="HC287">
        <f t="shared" si="215"/>
        <v>0</v>
      </c>
      <c r="IK287">
        <v>0</v>
      </c>
    </row>
    <row r="288" spans="1:245" x14ac:dyDescent="0.2">
      <c r="A288">
        <v>18</v>
      </c>
      <c r="B288">
        <v>1</v>
      </c>
      <c r="C288">
        <v>174</v>
      </c>
      <c r="E288" t="s">
        <v>270</v>
      </c>
      <c r="F288" t="s">
        <v>271</v>
      </c>
      <c r="G288" t="s">
        <v>272</v>
      </c>
      <c r="H288" t="s">
        <v>273</v>
      </c>
      <c r="I288">
        <f>I286*J288</f>
        <v>34.28</v>
      </c>
      <c r="J288">
        <v>214.25</v>
      </c>
      <c r="O288">
        <f t="shared" si="184"/>
        <v>887.17</v>
      </c>
      <c r="P288">
        <f t="shared" si="185"/>
        <v>887.17</v>
      </c>
      <c r="Q288">
        <f t="shared" si="186"/>
        <v>0</v>
      </c>
      <c r="R288">
        <f t="shared" si="187"/>
        <v>0</v>
      </c>
      <c r="S288">
        <f t="shared" si="188"/>
        <v>0</v>
      </c>
      <c r="T288">
        <f t="shared" si="189"/>
        <v>0</v>
      </c>
      <c r="U288">
        <f t="shared" si="190"/>
        <v>0</v>
      </c>
      <c r="V288">
        <f t="shared" si="191"/>
        <v>0</v>
      </c>
      <c r="W288">
        <f t="shared" si="192"/>
        <v>0</v>
      </c>
      <c r="X288">
        <f t="shared" si="193"/>
        <v>0</v>
      </c>
      <c r="Y288">
        <f t="shared" si="194"/>
        <v>0</v>
      </c>
      <c r="AA288">
        <v>39201625</v>
      </c>
      <c r="AB288">
        <f t="shared" si="195"/>
        <v>25.88</v>
      </c>
      <c r="AC288">
        <f t="shared" si="216"/>
        <v>25.88</v>
      </c>
      <c r="AD288">
        <f>ROUND((((ET288)-(EU288))+AE288),2)</f>
        <v>0</v>
      </c>
      <c r="AE288">
        <f>ROUND((EU288),2)</f>
        <v>0</v>
      </c>
      <c r="AF288">
        <f>ROUND((EV288),2)</f>
        <v>0</v>
      </c>
      <c r="AG288">
        <f t="shared" si="196"/>
        <v>0</v>
      </c>
      <c r="AH288">
        <f>(EW288)</f>
        <v>0</v>
      </c>
      <c r="AI288">
        <f>(EX288)</f>
        <v>0</v>
      </c>
      <c r="AJ288">
        <f t="shared" si="197"/>
        <v>0</v>
      </c>
      <c r="AK288">
        <v>25.88</v>
      </c>
      <c r="AL288">
        <v>25.88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90</v>
      </c>
      <c r="AU288">
        <v>72</v>
      </c>
      <c r="AV288">
        <v>1</v>
      </c>
      <c r="AW288">
        <v>1</v>
      </c>
      <c r="AZ288">
        <v>1</v>
      </c>
      <c r="BA288">
        <v>1</v>
      </c>
      <c r="BB288">
        <v>1</v>
      </c>
      <c r="BC288">
        <v>1</v>
      </c>
      <c r="BD288" t="s">
        <v>3</v>
      </c>
      <c r="BE288" t="s">
        <v>3</v>
      </c>
      <c r="BF288" t="s">
        <v>3</v>
      </c>
      <c r="BG288" t="s">
        <v>3</v>
      </c>
      <c r="BH288">
        <v>3</v>
      </c>
      <c r="BI288">
        <v>1</v>
      </c>
      <c r="BJ288" t="s">
        <v>274</v>
      </c>
      <c r="BM288">
        <v>9001</v>
      </c>
      <c r="BN288">
        <v>0</v>
      </c>
      <c r="BO288" t="s">
        <v>3</v>
      </c>
      <c r="BP288">
        <v>0</v>
      </c>
      <c r="BQ288">
        <v>2</v>
      </c>
      <c r="BR288">
        <v>0</v>
      </c>
      <c r="BS288">
        <v>1</v>
      </c>
      <c r="BT288">
        <v>1</v>
      </c>
      <c r="BU288">
        <v>1</v>
      </c>
      <c r="BV288">
        <v>1</v>
      </c>
      <c r="BW288">
        <v>1</v>
      </c>
      <c r="BX288">
        <v>1</v>
      </c>
      <c r="BY288" t="s">
        <v>3</v>
      </c>
      <c r="BZ288">
        <v>90</v>
      </c>
      <c r="CA288">
        <v>85</v>
      </c>
      <c r="CE288">
        <v>0</v>
      </c>
      <c r="CF288">
        <v>0</v>
      </c>
      <c r="CG288">
        <v>0</v>
      </c>
      <c r="CM288">
        <v>0</v>
      </c>
      <c r="CN288" t="s">
        <v>3</v>
      </c>
      <c r="CO288">
        <v>0</v>
      </c>
      <c r="CP288">
        <f t="shared" si="198"/>
        <v>887.17</v>
      </c>
      <c r="CQ288">
        <f t="shared" si="199"/>
        <v>25.88</v>
      </c>
      <c r="CR288">
        <f t="shared" si="200"/>
        <v>0</v>
      </c>
      <c r="CS288">
        <f t="shared" si="201"/>
        <v>0</v>
      </c>
      <c r="CT288">
        <f t="shared" si="202"/>
        <v>0</v>
      </c>
      <c r="CU288">
        <f t="shared" si="203"/>
        <v>0</v>
      </c>
      <c r="CV288">
        <f t="shared" si="204"/>
        <v>0</v>
      </c>
      <c r="CW288">
        <f t="shared" si="205"/>
        <v>0</v>
      </c>
      <c r="CX288">
        <f t="shared" si="206"/>
        <v>0</v>
      </c>
      <c r="CY288">
        <f t="shared" si="218"/>
        <v>0</v>
      </c>
      <c r="CZ288">
        <f t="shared" si="219"/>
        <v>0</v>
      </c>
      <c r="DC288" t="s">
        <v>3</v>
      </c>
      <c r="DD288" t="s">
        <v>3</v>
      </c>
      <c r="DE288" t="s">
        <v>3</v>
      </c>
      <c r="DF288" t="s">
        <v>3</v>
      </c>
      <c r="DG288" t="s">
        <v>3</v>
      </c>
      <c r="DH288" t="s">
        <v>3</v>
      </c>
      <c r="DI288" t="s">
        <v>3</v>
      </c>
      <c r="DJ288" t="s">
        <v>3</v>
      </c>
      <c r="DK288" t="s">
        <v>3</v>
      </c>
      <c r="DL288" t="s">
        <v>3</v>
      </c>
      <c r="DM288" t="s">
        <v>3</v>
      </c>
      <c r="DN288">
        <v>0</v>
      </c>
      <c r="DO288">
        <v>0</v>
      </c>
      <c r="DP288">
        <v>1</v>
      </c>
      <c r="DQ288">
        <v>1</v>
      </c>
      <c r="DU288">
        <v>1003</v>
      </c>
      <c r="DV288" t="s">
        <v>273</v>
      </c>
      <c r="DW288" t="s">
        <v>273</v>
      </c>
      <c r="DX288">
        <v>1</v>
      </c>
      <c r="EE288">
        <v>39190902</v>
      </c>
      <c r="EF288">
        <v>2</v>
      </c>
      <c r="EG288" t="s">
        <v>31</v>
      </c>
      <c r="EH288">
        <v>0</v>
      </c>
      <c r="EI288" t="s">
        <v>3</v>
      </c>
      <c r="EJ288">
        <v>1</v>
      </c>
      <c r="EK288">
        <v>9001</v>
      </c>
      <c r="EL288" t="s">
        <v>243</v>
      </c>
      <c r="EM288" t="s">
        <v>244</v>
      </c>
      <c r="EO288" t="s">
        <v>3</v>
      </c>
      <c r="EQ288">
        <v>0</v>
      </c>
      <c r="ER288">
        <v>25.88</v>
      </c>
      <c r="ES288">
        <v>25.88</v>
      </c>
      <c r="ET288">
        <v>0</v>
      </c>
      <c r="EU288">
        <v>0</v>
      </c>
      <c r="EV288">
        <v>0</v>
      </c>
      <c r="EW288">
        <v>0</v>
      </c>
      <c r="EX288">
        <v>0</v>
      </c>
      <c r="FQ288">
        <v>0</v>
      </c>
      <c r="FR288">
        <f t="shared" si="207"/>
        <v>0</v>
      </c>
      <c r="FS288">
        <v>0</v>
      </c>
      <c r="FU288" t="s">
        <v>34</v>
      </c>
      <c r="FX288">
        <v>90</v>
      </c>
      <c r="FY288">
        <v>72.25</v>
      </c>
      <c r="GA288" t="s">
        <v>3</v>
      </c>
      <c r="GD288">
        <v>1</v>
      </c>
      <c r="GF288">
        <v>878622785</v>
      </c>
      <c r="GG288">
        <v>2</v>
      </c>
      <c r="GH288">
        <v>0</v>
      </c>
      <c r="GI288">
        <v>0</v>
      </c>
      <c r="GJ288">
        <v>0</v>
      </c>
      <c r="GK288">
        <v>0</v>
      </c>
      <c r="GL288">
        <f t="shared" si="208"/>
        <v>0</v>
      </c>
      <c r="GM288">
        <f t="shared" si="209"/>
        <v>887.17</v>
      </c>
      <c r="GN288">
        <f t="shared" si="210"/>
        <v>887.17</v>
      </c>
      <c r="GO288">
        <f t="shared" si="211"/>
        <v>0</v>
      </c>
      <c r="GP288">
        <f t="shared" si="212"/>
        <v>0</v>
      </c>
      <c r="GR288">
        <v>0</v>
      </c>
      <c r="GS288">
        <v>0</v>
      </c>
      <c r="GT288">
        <v>0</v>
      </c>
      <c r="GU288" t="s">
        <v>3</v>
      </c>
      <c r="GV288">
        <f t="shared" si="213"/>
        <v>0</v>
      </c>
      <c r="GW288">
        <v>1</v>
      </c>
      <c r="GX288">
        <f t="shared" si="214"/>
        <v>0</v>
      </c>
      <c r="HA288">
        <v>0</v>
      </c>
      <c r="HB288">
        <v>0</v>
      </c>
      <c r="HC288">
        <f t="shared" si="215"/>
        <v>0</v>
      </c>
      <c r="IK288">
        <v>0</v>
      </c>
    </row>
    <row r="289" spans="1:245" x14ac:dyDescent="0.2">
      <c r="A289">
        <v>17</v>
      </c>
      <c r="B289">
        <v>1</v>
      </c>
      <c r="C289">
        <f>ROW(SmtRes!A182)</f>
        <v>182</v>
      </c>
      <c r="D289">
        <f>ROW(EtalonRes!A184)</f>
        <v>184</v>
      </c>
      <c r="E289" t="s">
        <v>275</v>
      </c>
      <c r="F289" t="s">
        <v>237</v>
      </c>
      <c r="G289" t="s">
        <v>276</v>
      </c>
      <c r="H289" t="s">
        <v>239</v>
      </c>
      <c r="I289">
        <f>ROUND(26/10,4)</f>
        <v>2.6</v>
      </c>
      <c r="J289">
        <v>0</v>
      </c>
      <c r="O289">
        <f t="shared" si="184"/>
        <v>221.28</v>
      </c>
      <c r="P289">
        <f t="shared" si="185"/>
        <v>0</v>
      </c>
      <c r="Q289">
        <f t="shared" si="186"/>
        <v>73.760000000000005</v>
      </c>
      <c r="R289">
        <f t="shared" si="187"/>
        <v>21.09</v>
      </c>
      <c r="S289">
        <f t="shared" si="188"/>
        <v>147.52000000000001</v>
      </c>
      <c r="T289">
        <f t="shared" si="189"/>
        <v>0</v>
      </c>
      <c r="U289">
        <f t="shared" si="190"/>
        <v>21.258899999999997</v>
      </c>
      <c r="V289">
        <f t="shared" si="191"/>
        <v>1.8524999999999998</v>
      </c>
      <c r="W289">
        <f t="shared" si="192"/>
        <v>0</v>
      </c>
      <c r="X289">
        <f t="shared" si="193"/>
        <v>151.75</v>
      </c>
      <c r="Y289">
        <f t="shared" si="194"/>
        <v>121.4</v>
      </c>
      <c r="AA289">
        <v>39201625</v>
      </c>
      <c r="AB289">
        <f t="shared" si="195"/>
        <v>85.11</v>
      </c>
      <c r="AC289">
        <f t="shared" si="216"/>
        <v>0</v>
      </c>
      <c r="AD289">
        <f>ROUND(((((ET289*1.25))-((EU289*1.25)))+AE289),2)</f>
        <v>28.37</v>
      </c>
      <c r="AE289">
        <f>ROUND(((EU289*1.25)),2)</f>
        <v>8.11</v>
      </c>
      <c r="AF289">
        <f>ROUND(((EV289*1.15)),2)</f>
        <v>56.74</v>
      </c>
      <c r="AG289">
        <f t="shared" si="196"/>
        <v>0</v>
      </c>
      <c r="AH289">
        <f>((EW289*1.15))</f>
        <v>8.176499999999999</v>
      </c>
      <c r="AI289">
        <f>((EX289*1.25))</f>
        <v>0.71249999999999991</v>
      </c>
      <c r="AJ289">
        <f t="shared" si="197"/>
        <v>0</v>
      </c>
      <c r="AK289">
        <v>72.040000000000006</v>
      </c>
      <c r="AL289">
        <v>0</v>
      </c>
      <c r="AM289">
        <v>22.7</v>
      </c>
      <c r="AN289">
        <v>6.49</v>
      </c>
      <c r="AO289">
        <v>49.34</v>
      </c>
      <c r="AP289">
        <v>0</v>
      </c>
      <c r="AQ289">
        <v>7.11</v>
      </c>
      <c r="AR289">
        <v>0.56999999999999995</v>
      </c>
      <c r="AS289">
        <v>0</v>
      </c>
      <c r="AT289">
        <v>90</v>
      </c>
      <c r="AU289">
        <v>72</v>
      </c>
      <c r="AV289">
        <v>1</v>
      </c>
      <c r="AW289">
        <v>1</v>
      </c>
      <c r="AZ289">
        <v>1</v>
      </c>
      <c r="BA289">
        <v>1</v>
      </c>
      <c r="BB289">
        <v>1</v>
      </c>
      <c r="BC289">
        <v>1</v>
      </c>
      <c r="BD289" t="s">
        <v>3</v>
      </c>
      <c r="BE289" t="s">
        <v>3</v>
      </c>
      <c r="BF289" t="s">
        <v>3</v>
      </c>
      <c r="BG289" t="s">
        <v>3</v>
      </c>
      <c r="BH289">
        <v>0</v>
      </c>
      <c r="BI289">
        <v>1</v>
      </c>
      <c r="BJ289" t="s">
        <v>240</v>
      </c>
      <c r="BM289">
        <v>9001</v>
      </c>
      <c r="BN289">
        <v>0</v>
      </c>
      <c r="BO289" t="s">
        <v>3</v>
      </c>
      <c r="BP289">
        <v>0</v>
      </c>
      <c r="BQ289">
        <v>2</v>
      </c>
      <c r="BR289">
        <v>0</v>
      </c>
      <c r="BS289">
        <v>1</v>
      </c>
      <c r="BT289">
        <v>1</v>
      </c>
      <c r="BU289">
        <v>1</v>
      </c>
      <c r="BV289">
        <v>1</v>
      </c>
      <c r="BW289">
        <v>1</v>
      </c>
      <c r="BX289">
        <v>1</v>
      </c>
      <c r="BY289" t="s">
        <v>3</v>
      </c>
      <c r="BZ289">
        <v>90</v>
      </c>
      <c r="CA289">
        <v>85</v>
      </c>
      <c r="CE289">
        <v>0</v>
      </c>
      <c r="CF289">
        <v>0</v>
      </c>
      <c r="CG289">
        <v>0</v>
      </c>
      <c r="CM289">
        <v>0</v>
      </c>
      <c r="CN289" t="s">
        <v>3</v>
      </c>
      <c r="CO289">
        <v>0</v>
      </c>
      <c r="CP289">
        <f t="shared" si="198"/>
        <v>221.28000000000003</v>
      </c>
      <c r="CQ289">
        <f t="shared" si="199"/>
        <v>0</v>
      </c>
      <c r="CR289">
        <f t="shared" si="200"/>
        <v>28.37</v>
      </c>
      <c r="CS289">
        <f t="shared" si="201"/>
        <v>8.11</v>
      </c>
      <c r="CT289">
        <f t="shared" si="202"/>
        <v>56.74</v>
      </c>
      <c r="CU289">
        <f t="shared" si="203"/>
        <v>0</v>
      </c>
      <c r="CV289">
        <f t="shared" si="204"/>
        <v>8.176499999999999</v>
      </c>
      <c r="CW289">
        <f t="shared" si="205"/>
        <v>0.71249999999999991</v>
      </c>
      <c r="CX289">
        <f t="shared" si="206"/>
        <v>0</v>
      </c>
      <c r="CY289">
        <f t="shared" si="218"/>
        <v>151.74900000000002</v>
      </c>
      <c r="CZ289">
        <f t="shared" si="219"/>
        <v>121.39920000000002</v>
      </c>
      <c r="DC289" t="s">
        <v>3</v>
      </c>
      <c r="DD289" t="s">
        <v>3</v>
      </c>
      <c r="DE289" t="s">
        <v>138</v>
      </c>
      <c r="DF289" t="s">
        <v>138</v>
      </c>
      <c r="DG289" t="s">
        <v>139</v>
      </c>
      <c r="DH289" t="s">
        <v>3</v>
      </c>
      <c r="DI289" t="s">
        <v>139</v>
      </c>
      <c r="DJ289" t="s">
        <v>138</v>
      </c>
      <c r="DK289" t="s">
        <v>3</v>
      </c>
      <c r="DL289" t="s">
        <v>3</v>
      </c>
      <c r="DM289" t="s">
        <v>3</v>
      </c>
      <c r="DN289">
        <v>0</v>
      </c>
      <c r="DO289">
        <v>0</v>
      </c>
      <c r="DP289">
        <v>1</v>
      </c>
      <c r="DQ289">
        <v>1</v>
      </c>
      <c r="DU289">
        <v>1013</v>
      </c>
      <c r="DV289" t="s">
        <v>239</v>
      </c>
      <c r="DW289" t="s">
        <v>239</v>
      </c>
      <c r="DX289">
        <v>1</v>
      </c>
      <c r="EE289">
        <v>39190902</v>
      </c>
      <c r="EF289">
        <v>2</v>
      </c>
      <c r="EG289" t="s">
        <v>31</v>
      </c>
      <c r="EH289">
        <v>0</v>
      </c>
      <c r="EI289" t="s">
        <v>3</v>
      </c>
      <c r="EJ289">
        <v>1</v>
      </c>
      <c r="EK289">
        <v>9001</v>
      </c>
      <c r="EL289" t="s">
        <v>243</v>
      </c>
      <c r="EM289" t="s">
        <v>244</v>
      </c>
      <c r="EO289" t="s">
        <v>3</v>
      </c>
      <c r="EQ289">
        <v>0</v>
      </c>
      <c r="ER289">
        <v>72.040000000000006</v>
      </c>
      <c r="ES289">
        <v>0</v>
      </c>
      <c r="ET289">
        <v>22.7</v>
      </c>
      <c r="EU289">
        <v>6.49</v>
      </c>
      <c r="EV289">
        <v>49.34</v>
      </c>
      <c r="EW289">
        <v>7.11</v>
      </c>
      <c r="EX289">
        <v>0.56999999999999995</v>
      </c>
      <c r="EY289">
        <v>0</v>
      </c>
      <c r="FQ289">
        <v>0</v>
      </c>
      <c r="FR289">
        <f t="shared" si="207"/>
        <v>0</v>
      </c>
      <c r="FS289">
        <v>0</v>
      </c>
      <c r="FU289" t="s">
        <v>34</v>
      </c>
      <c r="FX289">
        <v>90</v>
      </c>
      <c r="FY289">
        <v>72.25</v>
      </c>
      <c r="GA289" t="s">
        <v>3</v>
      </c>
      <c r="GD289">
        <v>1</v>
      </c>
      <c r="GF289">
        <v>629324055</v>
      </c>
      <c r="GG289">
        <v>2</v>
      </c>
      <c r="GH289">
        <v>0</v>
      </c>
      <c r="GI289">
        <v>0</v>
      </c>
      <c r="GJ289">
        <v>0</v>
      </c>
      <c r="GK289">
        <v>0</v>
      </c>
      <c r="GL289">
        <f t="shared" si="208"/>
        <v>0</v>
      </c>
      <c r="GM289">
        <f t="shared" si="209"/>
        <v>494.43</v>
      </c>
      <c r="GN289">
        <f t="shared" si="210"/>
        <v>494.43</v>
      </c>
      <c r="GO289">
        <f t="shared" si="211"/>
        <v>0</v>
      </c>
      <c r="GP289">
        <f t="shared" si="212"/>
        <v>0</v>
      </c>
      <c r="GR289">
        <v>0</v>
      </c>
      <c r="GS289">
        <v>0</v>
      </c>
      <c r="GT289">
        <v>0</v>
      </c>
      <c r="GU289" t="s">
        <v>3</v>
      </c>
      <c r="GV289">
        <f t="shared" si="213"/>
        <v>0</v>
      </c>
      <c r="GW289">
        <v>1</v>
      </c>
      <c r="GX289">
        <f t="shared" si="214"/>
        <v>0</v>
      </c>
      <c r="HA289">
        <v>0</v>
      </c>
      <c r="HB289">
        <v>0</v>
      </c>
      <c r="HC289">
        <f t="shared" si="215"/>
        <v>0</v>
      </c>
      <c r="IK289">
        <v>0</v>
      </c>
    </row>
    <row r="290" spans="1:245" x14ac:dyDescent="0.2">
      <c r="A290">
        <v>18</v>
      </c>
      <c r="B290">
        <v>1</v>
      </c>
      <c r="C290">
        <v>182</v>
      </c>
      <c r="E290" t="s">
        <v>277</v>
      </c>
      <c r="F290" t="s">
        <v>278</v>
      </c>
      <c r="G290" t="s">
        <v>279</v>
      </c>
      <c r="H290" t="s">
        <v>273</v>
      </c>
      <c r="I290">
        <f>I289*J290</f>
        <v>97.5</v>
      </c>
      <c r="J290">
        <v>37.5</v>
      </c>
      <c r="O290">
        <f t="shared" si="184"/>
        <v>1616.55</v>
      </c>
      <c r="P290">
        <f t="shared" si="185"/>
        <v>1616.55</v>
      </c>
      <c r="Q290">
        <f t="shared" si="186"/>
        <v>0</v>
      </c>
      <c r="R290">
        <f t="shared" si="187"/>
        <v>0</v>
      </c>
      <c r="S290">
        <f t="shared" si="188"/>
        <v>0</v>
      </c>
      <c r="T290">
        <f t="shared" si="189"/>
        <v>0</v>
      </c>
      <c r="U290">
        <f t="shared" si="190"/>
        <v>0</v>
      </c>
      <c r="V290">
        <f t="shared" si="191"/>
        <v>0</v>
      </c>
      <c r="W290">
        <f t="shared" si="192"/>
        <v>0</v>
      </c>
      <c r="X290">
        <f t="shared" si="193"/>
        <v>0</v>
      </c>
      <c r="Y290">
        <f t="shared" si="194"/>
        <v>0</v>
      </c>
      <c r="AA290">
        <v>39201625</v>
      </c>
      <c r="AB290">
        <f t="shared" si="195"/>
        <v>16.579999999999998</v>
      </c>
      <c r="AC290">
        <f t="shared" si="216"/>
        <v>16.579999999999998</v>
      </c>
      <c r="AD290">
        <f>ROUND((((ET290)-(EU290))+AE290),2)</f>
        <v>0</v>
      </c>
      <c r="AE290">
        <f t="shared" ref="AE290:AF292" si="220">ROUND((EU290),2)</f>
        <v>0</v>
      </c>
      <c r="AF290">
        <f t="shared" si="220"/>
        <v>0</v>
      </c>
      <c r="AG290">
        <f t="shared" si="196"/>
        <v>0</v>
      </c>
      <c r="AH290">
        <f t="shared" ref="AH290:AI292" si="221">(EW290)</f>
        <v>0</v>
      </c>
      <c r="AI290">
        <f t="shared" si="221"/>
        <v>0</v>
      </c>
      <c r="AJ290">
        <f t="shared" si="197"/>
        <v>0</v>
      </c>
      <c r="AK290">
        <v>16.579999999999998</v>
      </c>
      <c r="AL290">
        <v>16.579999999999998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90</v>
      </c>
      <c r="AU290">
        <v>72</v>
      </c>
      <c r="AV290">
        <v>1</v>
      </c>
      <c r="AW290">
        <v>1</v>
      </c>
      <c r="AZ290">
        <v>1</v>
      </c>
      <c r="BA290">
        <v>1</v>
      </c>
      <c r="BB290">
        <v>1</v>
      </c>
      <c r="BC290">
        <v>1</v>
      </c>
      <c r="BD290" t="s">
        <v>3</v>
      </c>
      <c r="BE290" t="s">
        <v>3</v>
      </c>
      <c r="BF290" t="s">
        <v>3</v>
      </c>
      <c r="BG290" t="s">
        <v>3</v>
      </c>
      <c r="BH290">
        <v>3</v>
      </c>
      <c r="BI290">
        <v>1</v>
      </c>
      <c r="BJ290" t="s">
        <v>280</v>
      </c>
      <c r="BM290">
        <v>9001</v>
      </c>
      <c r="BN290">
        <v>0</v>
      </c>
      <c r="BO290" t="s">
        <v>3</v>
      </c>
      <c r="BP290">
        <v>0</v>
      </c>
      <c r="BQ290">
        <v>2</v>
      </c>
      <c r="BR290">
        <v>0</v>
      </c>
      <c r="BS290">
        <v>1</v>
      </c>
      <c r="BT290">
        <v>1</v>
      </c>
      <c r="BU290">
        <v>1</v>
      </c>
      <c r="BV290">
        <v>1</v>
      </c>
      <c r="BW290">
        <v>1</v>
      </c>
      <c r="BX290">
        <v>1</v>
      </c>
      <c r="BY290" t="s">
        <v>3</v>
      </c>
      <c r="BZ290">
        <v>90</v>
      </c>
      <c r="CA290">
        <v>85</v>
      </c>
      <c r="CE290">
        <v>0</v>
      </c>
      <c r="CF290">
        <v>0</v>
      </c>
      <c r="CG290">
        <v>0</v>
      </c>
      <c r="CM290">
        <v>0</v>
      </c>
      <c r="CN290" t="s">
        <v>3</v>
      </c>
      <c r="CO290">
        <v>0</v>
      </c>
      <c r="CP290">
        <f t="shared" si="198"/>
        <v>1616.55</v>
      </c>
      <c r="CQ290">
        <f t="shared" si="199"/>
        <v>16.579999999999998</v>
      </c>
      <c r="CR290">
        <f t="shared" si="200"/>
        <v>0</v>
      </c>
      <c r="CS290">
        <f t="shared" si="201"/>
        <v>0</v>
      </c>
      <c r="CT290">
        <f t="shared" si="202"/>
        <v>0</v>
      </c>
      <c r="CU290">
        <f t="shared" si="203"/>
        <v>0</v>
      </c>
      <c r="CV290">
        <f t="shared" si="204"/>
        <v>0</v>
      </c>
      <c r="CW290">
        <f t="shared" si="205"/>
        <v>0</v>
      </c>
      <c r="CX290">
        <f t="shared" si="206"/>
        <v>0</v>
      </c>
      <c r="CY290">
        <f t="shared" si="218"/>
        <v>0</v>
      </c>
      <c r="CZ290">
        <f t="shared" si="219"/>
        <v>0</v>
      </c>
      <c r="DC290" t="s">
        <v>3</v>
      </c>
      <c r="DD290" t="s">
        <v>3</v>
      </c>
      <c r="DE290" t="s">
        <v>3</v>
      </c>
      <c r="DF290" t="s">
        <v>3</v>
      </c>
      <c r="DG290" t="s">
        <v>3</v>
      </c>
      <c r="DH290" t="s">
        <v>3</v>
      </c>
      <c r="DI290" t="s">
        <v>3</v>
      </c>
      <c r="DJ290" t="s">
        <v>3</v>
      </c>
      <c r="DK290" t="s">
        <v>3</v>
      </c>
      <c r="DL290" t="s">
        <v>3</v>
      </c>
      <c r="DM290" t="s">
        <v>3</v>
      </c>
      <c r="DN290">
        <v>0</v>
      </c>
      <c r="DO290">
        <v>0</v>
      </c>
      <c r="DP290">
        <v>1</v>
      </c>
      <c r="DQ290">
        <v>1</v>
      </c>
      <c r="DU290">
        <v>1003</v>
      </c>
      <c r="DV290" t="s">
        <v>273</v>
      </c>
      <c r="DW290" t="s">
        <v>273</v>
      </c>
      <c r="DX290">
        <v>1</v>
      </c>
      <c r="EE290">
        <v>39190902</v>
      </c>
      <c r="EF290">
        <v>2</v>
      </c>
      <c r="EG290" t="s">
        <v>31</v>
      </c>
      <c r="EH290">
        <v>0</v>
      </c>
      <c r="EI290" t="s">
        <v>3</v>
      </c>
      <c r="EJ290">
        <v>1</v>
      </c>
      <c r="EK290">
        <v>9001</v>
      </c>
      <c r="EL290" t="s">
        <v>243</v>
      </c>
      <c r="EM290" t="s">
        <v>244</v>
      </c>
      <c r="EO290" t="s">
        <v>3</v>
      </c>
      <c r="EQ290">
        <v>0</v>
      </c>
      <c r="ER290">
        <v>16.579999999999998</v>
      </c>
      <c r="ES290">
        <v>16.579999999999998</v>
      </c>
      <c r="ET290">
        <v>0</v>
      </c>
      <c r="EU290">
        <v>0</v>
      </c>
      <c r="EV290">
        <v>0</v>
      </c>
      <c r="EW290">
        <v>0</v>
      </c>
      <c r="EX290">
        <v>0</v>
      </c>
      <c r="FQ290">
        <v>0</v>
      </c>
      <c r="FR290">
        <f t="shared" si="207"/>
        <v>0</v>
      </c>
      <c r="FS290">
        <v>0</v>
      </c>
      <c r="FU290" t="s">
        <v>34</v>
      </c>
      <c r="FX290">
        <v>90</v>
      </c>
      <c r="FY290">
        <v>72.25</v>
      </c>
      <c r="GA290" t="s">
        <v>3</v>
      </c>
      <c r="GD290">
        <v>1</v>
      </c>
      <c r="GF290">
        <v>-950338045</v>
      </c>
      <c r="GG290">
        <v>2</v>
      </c>
      <c r="GH290">
        <v>0</v>
      </c>
      <c r="GI290">
        <v>0</v>
      </c>
      <c r="GJ290">
        <v>0</v>
      </c>
      <c r="GK290">
        <v>0</v>
      </c>
      <c r="GL290">
        <f t="shared" si="208"/>
        <v>0</v>
      </c>
      <c r="GM290">
        <f t="shared" si="209"/>
        <v>1616.55</v>
      </c>
      <c r="GN290">
        <f t="shared" si="210"/>
        <v>1616.55</v>
      </c>
      <c r="GO290">
        <f t="shared" si="211"/>
        <v>0</v>
      </c>
      <c r="GP290">
        <f t="shared" si="212"/>
        <v>0</v>
      </c>
      <c r="GR290">
        <v>0</v>
      </c>
      <c r="GS290">
        <v>0</v>
      </c>
      <c r="GT290">
        <v>0</v>
      </c>
      <c r="GU290" t="s">
        <v>3</v>
      </c>
      <c r="GV290">
        <f t="shared" si="213"/>
        <v>0</v>
      </c>
      <c r="GW290">
        <v>1</v>
      </c>
      <c r="GX290">
        <f t="shared" si="214"/>
        <v>0</v>
      </c>
      <c r="HA290">
        <v>0</v>
      </c>
      <c r="HB290">
        <v>0</v>
      </c>
      <c r="HC290">
        <f t="shared" si="215"/>
        <v>0</v>
      </c>
      <c r="IK290">
        <v>0</v>
      </c>
    </row>
    <row r="291" spans="1:245" x14ac:dyDescent="0.2">
      <c r="A291">
        <v>18</v>
      </c>
      <c r="B291">
        <v>1</v>
      </c>
      <c r="C291">
        <v>180</v>
      </c>
      <c r="E291" t="s">
        <v>281</v>
      </c>
      <c r="F291" t="s">
        <v>282</v>
      </c>
      <c r="G291" t="s">
        <v>283</v>
      </c>
      <c r="H291" t="s">
        <v>169</v>
      </c>
      <c r="I291">
        <f>I289*J291</f>
        <v>0.27100000000000002</v>
      </c>
      <c r="J291">
        <v>0.10423076923076924</v>
      </c>
      <c r="O291">
        <f t="shared" si="184"/>
        <v>3437.31</v>
      </c>
      <c r="P291">
        <f t="shared" si="185"/>
        <v>3437.31</v>
      </c>
      <c r="Q291">
        <f t="shared" si="186"/>
        <v>0</v>
      </c>
      <c r="R291">
        <f t="shared" si="187"/>
        <v>0</v>
      </c>
      <c r="S291">
        <f t="shared" si="188"/>
        <v>0</v>
      </c>
      <c r="T291">
        <f t="shared" si="189"/>
        <v>0</v>
      </c>
      <c r="U291">
        <f t="shared" si="190"/>
        <v>0</v>
      </c>
      <c r="V291">
        <f t="shared" si="191"/>
        <v>0</v>
      </c>
      <c r="W291">
        <f t="shared" si="192"/>
        <v>0</v>
      </c>
      <c r="X291">
        <f t="shared" si="193"/>
        <v>0</v>
      </c>
      <c r="Y291">
        <f t="shared" si="194"/>
        <v>0</v>
      </c>
      <c r="AA291">
        <v>39201625</v>
      </c>
      <c r="AB291">
        <f t="shared" si="195"/>
        <v>12683.81</v>
      </c>
      <c r="AC291">
        <f t="shared" si="216"/>
        <v>12683.81</v>
      </c>
      <c r="AD291">
        <f>ROUND((((ET291)-(EU291))+AE291),2)</f>
        <v>0</v>
      </c>
      <c r="AE291">
        <f t="shared" si="220"/>
        <v>0</v>
      </c>
      <c r="AF291">
        <f t="shared" si="220"/>
        <v>0</v>
      </c>
      <c r="AG291">
        <f t="shared" si="196"/>
        <v>0</v>
      </c>
      <c r="AH291">
        <f t="shared" si="221"/>
        <v>0</v>
      </c>
      <c r="AI291">
        <f t="shared" si="221"/>
        <v>0</v>
      </c>
      <c r="AJ291">
        <f t="shared" si="197"/>
        <v>0</v>
      </c>
      <c r="AK291">
        <v>12683.81</v>
      </c>
      <c r="AL291">
        <v>12683.81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90</v>
      </c>
      <c r="AU291">
        <v>72</v>
      </c>
      <c r="AV291">
        <v>1</v>
      </c>
      <c r="AW291">
        <v>1</v>
      </c>
      <c r="AZ291">
        <v>1</v>
      </c>
      <c r="BA291">
        <v>1</v>
      </c>
      <c r="BB291">
        <v>1</v>
      </c>
      <c r="BC291">
        <v>1</v>
      </c>
      <c r="BD291" t="s">
        <v>3</v>
      </c>
      <c r="BE291" t="s">
        <v>3</v>
      </c>
      <c r="BF291" t="s">
        <v>3</v>
      </c>
      <c r="BG291" t="s">
        <v>3</v>
      </c>
      <c r="BH291">
        <v>3</v>
      </c>
      <c r="BI291">
        <v>1</v>
      </c>
      <c r="BJ291" t="s">
        <v>284</v>
      </c>
      <c r="BM291">
        <v>9001</v>
      </c>
      <c r="BN291">
        <v>0</v>
      </c>
      <c r="BO291" t="s">
        <v>3</v>
      </c>
      <c r="BP291">
        <v>0</v>
      </c>
      <c r="BQ291">
        <v>2</v>
      </c>
      <c r="BR291">
        <v>0</v>
      </c>
      <c r="BS291">
        <v>1</v>
      </c>
      <c r="BT291">
        <v>1</v>
      </c>
      <c r="BU291">
        <v>1</v>
      </c>
      <c r="BV291">
        <v>1</v>
      </c>
      <c r="BW291">
        <v>1</v>
      </c>
      <c r="BX291">
        <v>1</v>
      </c>
      <c r="BY291" t="s">
        <v>3</v>
      </c>
      <c r="BZ291">
        <v>90</v>
      </c>
      <c r="CA291">
        <v>85</v>
      </c>
      <c r="CE291">
        <v>0</v>
      </c>
      <c r="CF291">
        <v>0</v>
      </c>
      <c r="CG291">
        <v>0</v>
      </c>
      <c r="CM291">
        <v>0</v>
      </c>
      <c r="CN291" t="s">
        <v>3</v>
      </c>
      <c r="CO291">
        <v>0</v>
      </c>
      <c r="CP291">
        <f t="shared" si="198"/>
        <v>3437.31</v>
      </c>
      <c r="CQ291">
        <f t="shared" si="199"/>
        <v>12683.81</v>
      </c>
      <c r="CR291">
        <f t="shared" si="200"/>
        <v>0</v>
      </c>
      <c r="CS291">
        <f t="shared" si="201"/>
        <v>0</v>
      </c>
      <c r="CT291">
        <f t="shared" si="202"/>
        <v>0</v>
      </c>
      <c r="CU291">
        <f t="shared" si="203"/>
        <v>0</v>
      </c>
      <c r="CV291">
        <f t="shared" si="204"/>
        <v>0</v>
      </c>
      <c r="CW291">
        <f t="shared" si="205"/>
        <v>0</v>
      </c>
      <c r="CX291">
        <f t="shared" si="206"/>
        <v>0</v>
      </c>
      <c r="CY291">
        <f t="shared" si="218"/>
        <v>0</v>
      </c>
      <c r="CZ291">
        <f t="shared" si="219"/>
        <v>0</v>
      </c>
      <c r="DC291" t="s">
        <v>3</v>
      </c>
      <c r="DD291" t="s">
        <v>3</v>
      </c>
      <c r="DE291" t="s">
        <v>3</v>
      </c>
      <c r="DF291" t="s">
        <v>3</v>
      </c>
      <c r="DG291" t="s">
        <v>3</v>
      </c>
      <c r="DH291" t="s">
        <v>3</v>
      </c>
      <c r="DI291" t="s">
        <v>3</v>
      </c>
      <c r="DJ291" t="s">
        <v>3</v>
      </c>
      <c r="DK291" t="s">
        <v>3</v>
      </c>
      <c r="DL291" t="s">
        <v>3</v>
      </c>
      <c r="DM291" t="s">
        <v>3</v>
      </c>
      <c r="DN291">
        <v>0</v>
      </c>
      <c r="DO291">
        <v>0</v>
      </c>
      <c r="DP291">
        <v>1</v>
      </c>
      <c r="DQ291">
        <v>1</v>
      </c>
      <c r="DU291">
        <v>1009</v>
      </c>
      <c r="DV291" t="s">
        <v>169</v>
      </c>
      <c r="DW291" t="s">
        <v>169</v>
      </c>
      <c r="DX291">
        <v>1000</v>
      </c>
      <c r="EE291">
        <v>39190902</v>
      </c>
      <c r="EF291">
        <v>2</v>
      </c>
      <c r="EG291" t="s">
        <v>31</v>
      </c>
      <c r="EH291">
        <v>0</v>
      </c>
      <c r="EI291" t="s">
        <v>3</v>
      </c>
      <c r="EJ291">
        <v>1</v>
      </c>
      <c r="EK291">
        <v>9001</v>
      </c>
      <c r="EL291" t="s">
        <v>243</v>
      </c>
      <c r="EM291" t="s">
        <v>244</v>
      </c>
      <c r="EO291" t="s">
        <v>3</v>
      </c>
      <c r="EQ291">
        <v>0</v>
      </c>
      <c r="ER291">
        <v>12683.81</v>
      </c>
      <c r="ES291">
        <v>12683.81</v>
      </c>
      <c r="ET291">
        <v>0</v>
      </c>
      <c r="EU291">
        <v>0</v>
      </c>
      <c r="EV291">
        <v>0</v>
      </c>
      <c r="EW291">
        <v>0</v>
      </c>
      <c r="EX291">
        <v>0</v>
      </c>
      <c r="FQ291">
        <v>0</v>
      </c>
      <c r="FR291">
        <f t="shared" si="207"/>
        <v>0</v>
      </c>
      <c r="FS291">
        <v>0</v>
      </c>
      <c r="FU291" t="s">
        <v>34</v>
      </c>
      <c r="FX291">
        <v>90</v>
      </c>
      <c r="FY291">
        <v>72.25</v>
      </c>
      <c r="GA291" t="s">
        <v>3</v>
      </c>
      <c r="GD291">
        <v>1</v>
      </c>
      <c r="GF291">
        <v>1580971982</v>
      </c>
      <c r="GG291">
        <v>2</v>
      </c>
      <c r="GH291">
        <v>0</v>
      </c>
      <c r="GI291">
        <v>0</v>
      </c>
      <c r="GJ291">
        <v>0</v>
      </c>
      <c r="GK291">
        <v>0</v>
      </c>
      <c r="GL291">
        <f t="shared" si="208"/>
        <v>0</v>
      </c>
      <c r="GM291">
        <f t="shared" si="209"/>
        <v>3437.31</v>
      </c>
      <c r="GN291">
        <f t="shared" si="210"/>
        <v>3437.31</v>
      </c>
      <c r="GO291">
        <f t="shared" si="211"/>
        <v>0</v>
      </c>
      <c r="GP291">
        <f t="shared" si="212"/>
        <v>0</v>
      </c>
      <c r="GR291">
        <v>0</v>
      </c>
      <c r="GS291">
        <v>0</v>
      </c>
      <c r="GT291">
        <v>0</v>
      </c>
      <c r="GU291" t="s">
        <v>3</v>
      </c>
      <c r="GV291">
        <f t="shared" si="213"/>
        <v>0</v>
      </c>
      <c r="GW291">
        <v>1</v>
      </c>
      <c r="GX291">
        <f t="shared" si="214"/>
        <v>0</v>
      </c>
      <c r="HA291">
        <v>0</v>
      </c>
      <c r="HB291">
        <v>0</v>
      </c>
      <c r="HC291">
        <f t="shared" si="215"/>
        <v>0</v>
      </c>
      <c r="IK291">
        <v>0</v>
      </c>
    </row>
    <row r="292" spans="1:245" x14ac:dyDescent="0.2">
      <c r="A292">
        <v>18</v>
      </c>
      <c r="B292">
        <v>1</v>
      </c>
      <c r="C292">
        <v>181</v>
      </c>
      <c r="E292" t="s">
        <v>285</v>
      </c>
      <c r="F292" t="s">
        <v>286</v>
      </c>
      <c r="G292" t="s">
        <v>287</v>
      </c>
      <c r="H292" t="s">
        <v>288</v>
      </c>
      <c r="I292">
        <f>I289*J292</f>
        <v>54.2</v>
      </c>
      <c r="J292">
        <v>20.846153846153847</v>
      </c>
      <c r="O292">
        <f t="shared" si="184"/>
        <v>592.41</v>
      </c>
      <c r="P292">
        <f t="shared" si="185"/>
        <v>592.41</v>
      </c>
      <c r="Q292">
        <f t="shared" si="186"/>
        <v>0</v>
      </c>
      <c r="R292">
        <f t="shared" si="187"/>
        <v>0</v>
      </c>
      <c r="S292">
        <f t="shared" si="188"/>
        <v>0</v>
      </c>
      <c r="T292">
        <f t="shared" si="189"/>
        <v>0</v>
      </c>
      <c r="U292">
        <f t="shared" si="190"/>
        <v>0</v>
      </c>
      <c r="V292">
        <f t="shared" si="191"/>
        <v>0</v>
      </c>
      <c r="W292">
        <f t="shared" si="192"/>
        <v>0</v>
      </c>
      <c r="X292">
        <f t="shared" si="193"/>
        <v>0</v>
      </c>
      <c r="Y292">
        <f t="shared" si="194"/>
        <v>0</v>
      </c>
      <c r="AA292">
        <v>39201625</v>
      </c>
      <c r="AB292">
        <f t="shared" si="195"/>
        <v>10.93</v>
      </c>
      <c r="AC292">
        <f t="shared" si="216"/>
        <v>10.93</v>
      </c>
      <c r="AD292">
        <f>ROUND((((ET292)-(EU292))+AE292),2)</f>
        <v>0</v>
      </c>
      <c r="AE292">
        <f t="shared" si="220"/>
        <v>0</v>
      </c>
      <c r="AF292">
        <f t="shared" si="220"/>
        <v>0</v>
      </c>
      <c r="AG292">
        <f t="shared" si="196"/>
        <v>0</v>
      </c>
      <c r="AH292">
        <f t="shared" si="221"/>
        <v>0</v>
      </c>
      <c r="AI292">
        <f t="shared" si="221"/>
        <v>0</v>
      </c>
      <c r="AJ292">
        <f t="shared" si="197"/>
        <v>0</v>
      </c>
      <c r="AK292">
        <v>10.93</v>
      </c>
      <c r="AL292">
        <v>10.93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90</v>
      </c>
      <c r="AU292">
        <v>72</v>
      </c>
      <c r="AV292">
        <v>1</v>
      </c>
      <c r="AW292">
        <v>1</v>
      </c>
      <c r="AZ292">
        <v>1</v>
      </c>
      <c r="BA292">
        <v>1</v>
      </c>
      <c r="BB292">
        <v>1</v>
      </c>
      <c r="BC292">
        <v>1</v>
      </c>
      <c r="BD292" t="s">
        <v>3</v>
      </c>
      <c r="BE292" t="s">
        <v>3</v>
      </c>
      <c r="BF292" t="s">
        <v>3</v>
      </c>
      <c r="BG292" t="s">
        <v>3</v>
      </c>
      <c r="BH292">
        <v>3</v>
      </c>
      <c r="BI292">
        <v>1</v>
      </c>
      <c r="BJ292" t="s">
        <v>289</v>
      </c>
      <c r="BM292">
        <v>9001</v>
      </c>
      <c r="BN292">
        <v>0</v>
      </c>
      <c r="BO292" t="s">
        <v>3</v>
      </c>
      <c r="BP292">
        <v>0</v>
      </c>
      <c r="BQ292">
        <v>2</v>
      </c>
      <c r="BR292">
        <v>0</v>
      </c>
      <c r="BS292">
        <v>1</v>
      </c>
      <c r="BT292">
        <v>1</v>
      </c>
      <c r="BU292">
        <v>1</v>
      </c>
      <c r="BV292">
        <v>1</v>
      </c>
      <c r="BW292">
        <v>1</v>
      </c>
      <c r="BX292">
        <v>1</v>
      </c>
      <c r="BY292" t="s">
        <v>3</v>
      </c>
      <c r="BZ292">
        <v>90</v>
      </c>
      <c r="CA292">
        <v>85</v>
      </c>
      <c r="CE292">
        <v>0</v>
      </c>
      <c r="CF292">
        <v>0</v>
      </c>
      <c r="CG292">
        <v>0</v>
      </c>
      <c r="CM292">
        <v>0</v>
      </c>
      <c r="CN292" t="s">
        <v>3</v>
      </c>
      <c r="CO292">
        <v>0</v>
      </c>
      <c r="CP292">
        <f t="shared" si="198"/>
        <v>592.41</v>
      </c>
      <c r="CQ292">
        <f t="shared" si="199"/>
        <v>10.93</v>
      </c>
      <c r="CR292">
        <f t="shared" si="200"/>
        <v>0</v>
      </c>
      <c r="CS292">
        <f t="shared" si="201"/>
        <v>0</v>
      </c>
      <c r="CT292">
        <f t="shared" si="202"/>
        <v>0</v>
      </c>
      <c r="CU292">
        <f t="shared" si="203"/>
        <v>0</v>
      </c>
      <c r="CV292">
        <f t="shared" si="204"/>
        <v>0</v>
      </c>
      <c r="CW292">
        <f t="shared" si="205"/>
        <v>0</v>
      </c>
      <c r="CX292">
        <f t="shared" si="206"/>
        <v>0</v>
      </c>
      <c r="CY292">
        <f t="shared" si="218"/>
        <v>0</v>
      </c>
      <c r="CZ292">
        <f t="shared" si="219"/>
        <v>0</v>
      </c>
      <c r="DC292" t="s">
        <v>3</v>
      </c>
      <c r="DD292" t="s">
        <v>3</v>
      </c>
      <c r="DE292" t="s">
        <v>3</v>
      </c>
      <c r="DF292" t="s">
        <v>3</v>
      </c>
      <c r="DG292" t="s">
        <v>3</v>
      </c>
      <c r="DH292" t="s">
        <v>3</v>
      </c>
      <c r="DI292" t="s">
        <v>3</v>
      </c>
      <c r="DJ292" t="s">
        <v>3</v>
      </c>
      <c r="DK292" t="s">
        <v>3</v>
      </c>
      <c r="DL292" t="s">
        <v>3</v>
      </c>
      <c r="DM292" t="s">
        <v>3</v>
      </c>
      <c r="DN292">
        <v>0</v>
      </c>
      <c r="DO292">
        <v>0</v>
      </c>
      <c r="DP292">
        <v>1</v>
      </c>
      <c r="DQ292">
        <v>1</v>
      </c>
      <c r="DU292">
        <v>1010</v>
      </c>
      <c r="DV292" t="s">
        <v>288</v>
      </c>
      <c r="DW292" t="s">
        <v>288</v>
      </c>
      <c r="DX292">
        <v>10</v>
      </c>
      <c r="EE292">
        <v>39190902</v>
      </c>
      <c r="EF292">
        <v>2</v>
      </c>
      <c r="EG292" t="s">
        <v>31</v>
      </c>
      <c r="EH292">
        <v>0</v>
      </c>
      <c r="EI292" t="s">
        <v>3</v>
      </c>
      <c r="EJ292">
        <v>1</v>
      </c>
      <c r="EK292">
        <v>9001</v>
      </c>
      <c r="EL292" t="s">
        <v>243</v>
      </c>
      <c r="EM292" t="s">
        <v>244</v>
      </c>
      <c r="EO292" t="s">
        <v>3</v>
      </c>
      <c r="EQ292">
        <v>0</v>
      </c>
      <c r="ER292">
        <v>10.93</v>
      </c>
      <c r="ES292">
        <v>10.93</v>
      </c>
      <c r="ET292">
        <v>0</v>
      </c>
      <c r="EU292">
        <v>0</v>
      </c>
      <c r="EV292">
        <v>0</v>
      </c>
      <c r="EW292">
        <v>0</v>
      </c>
      <c r="EX292">
        <v>0</v>
      </c>
      <c r="FQ292">
        <v>0</v>
      </c>
      <c r="FR292">
        <f t="shared" si="207"/>
        <v>0</v>
      </c>
      <c r="FS292">
        <v>0</v>
      </c>
      <c r="FU292" t="s">
        <v>34</v>
      </c>
      <c r="FX292">
        <v>90</v>
      </c>
      <c r="FY292">
        <v>72.25</v>
      </c>
      <c r="GA292" t="s">
        <v>3</v>
      </c>
      <c r="GD292">
        <v>1</v>
      </c>
      <c r="GF292">
        <v>264401992</v>
      </c>
      <c r="GG292">
        <v>2</v>
      </c>
      <c r="GH292">
        <v>0</v>
      </c>
      <c r="GI292">
        <v>0</v>
      </c>
      <c r="GJ292">
        <v>0</v>
      </c>
      <c r="GK292">
        <v>0</v>
      </c>
      <c r="GL292">
        <f t="shared" si="208"/>
        <v>0</v>
      </c>
      <c r="GM292">
        <f t="shared" si="209"/>
        <v>592.41</v>
      </c>
      <c r="GN292">
        <f t="shared" si="210"/>
        <v>592.41</v>
      </c>
      <c r="GO292">
        <f t="shared" si="211"/>
        <v>0</v>
      </c>
      <c r="GP292">
        <f t="shared" si="212"/>
        <v>0</v>
      </c>
      <c r="GR292">
        <v>0</v>
      </c>
      <c r="GS292">
        <v>0</v>
      </c>
      <c r="GT292">
        <v>0</v>
      </c>
      <c r="GU292" t="s">
        <v>3</v>
      </c>
      <c r="GV292">
        <f t="shared" si="213"/>
        <v>0</v>
      </c>
      <c r="GW292">
        <v>1</v>
      </c>
      <c r="GX292">
        <f t="shared" si="214"/>
        <v>0</v>
      </c>
      <c r="HA292">
        <v>0</v>
      </c>
      <c r="HB292">
        <v>0</v>
      </c>
      <c r="HC292">
        <f t="shared" si="215"/>
        <v>0</v>
      </c>
      <c r="IK292">
        <v>0</v>
      </c>
    </row>
    <row r="293" spans="1:245" x14ac:dyDescent="0.2">
      <c r="A293">
        <v>17</v>
      </c>
      <c r="B293">
        <v>1</v>
      </c>
      <c r="C293">
        <f>ROW(SmtRes!A190)</f>
        <v>190</v>
      </c>
      <c r="D293">
        <f>ROW(EtalonRes!A192)</f>
        <v>192</v>
      </c>
      <c r="E293" t="s">
        <v>290</v>
      </c>
      <c r="F293" t="s">
        <v>291</v>
      </c>
      <c r="G293" t="s">
        <v>292</v>
      </c>
      <c r="H293" t="s">
        <v>293</v>
      </c>
      <c r="I293">
        <f>ROUND(((0.1152+0.2135)*43.5)/100,4)</f>
        <v>0.14299999999999999</v>
      </c>
      <c r="J293">
        <v>0</v>
      </c>
      <c r="O293">
        <f t="shared" si="184"/>
        <v>36.270000000000003</v>
      </c>
      <c r="P293">
        <f t="shared" si="185"/>
        <v>27.03</v>
      </c>
      <c r="Q293">
        <f t="shared" si="186"/>
        <v>1.68</v>
      </c>
      <c r="R293">
        <f t="shared" si="187"/>
        <v>0.02</v>
      </c>
      <c r="S293">
        <f t="shared" si="188"/>
        <v>7.56</v>
      </c>
      <c r="T293">
        <f t="shared" si="189"/>
        <v>0</v>
      </c>
      <c r="U293">
        <f t="shared" si="190"/>
        <v>0.87322949999999977</v>
      </c>
      <c r="V293">
        <f t="shared" si="191"/>
        <v>1.7875E-3</v>
      </c>
      <c r="W293">
        <f t="shared" si="192"/>
        <v>0</v>
      </c>
      <c r="X293">
        <f t="shared" si="193"/>
        <v>6.82</v>
      </c>
      <c r="Y293">
        <f t="shared" si="194"/>
        <v>4.55</v>
      </c>
      <c r="AA293">
        <v>39201625</v>
      </c>
      <c r="AB293">
        <f t="shared" si="195"/>
        <v>253.7</v>
      </c>
      <c r="AC293">
        <f t="shared" si="216"/>
        <v>189.04</v>
      </c>
      <c r="AD293">
        <f>ROUND(((((ET293*1.25))-((EU293*1.25)))+AE293),2)</f>
        <v>11.78</v>
      </c>
      <c r="AE293">
        <f>ROUND(((EU293*1.25)),2)</f>
        <v>0.13</v>
      </c>
      <c r="AF293">
        <f>ROUND(((EV293*1.15)),2)</f>
        <v>52.88</v>
      </c>
      <c r="AG293">
        <f t="shared" si="196"/>
        <v>0</v>
      </c>
      <c r="AH293">
        <f>((EW293*1.15))</f>
        <v>6.1064999999999987</v>
      </c>
      <c r="AI293">
        <f>((EX293*1.25))</f>
        <v>1.2500000000000001E-2</v>
      </c>
      <c r="AJ293">
        <f t="shared" si="197"/>
        <v>0</v>
      </c>
      <c r="AK293">
        <v>244.44</v>
      </c>
      <c r="AL293">
        <v>189.04</v>
      </c>
      <c r="AM293">
        <v>9.42</v>
      </c>
      <c r="AN293">
        <v>0.1</v>
      </c>
      <c r="AO293">
        <v>45.98</v>
      </c>
      <c r="AP293">
        <v>0</v>
      </c>
      <c r="AQ293">
        <v>5.31</v>
      </c>
      <c r="AR293">
        <v>0.01</v>
      </c>
      <c r="AS293">
        <v>0</v>
      </c>
      <c r="AT293">
        <v>90</v>
      </c>
      <c r="AU293">
        <v>60</v>
      </c>
      <c r="AV293">
        <v>1</v>
      </c>
      <c r="AW293">
        <v>1</v>
      </c>
      <c r="AZ293">
        <v>1</v>
      </c>
      <c r="BA293">
        <v>1</v>
      </c>
      <c r="BB293">
        <v>1</v>
      </c>
      <c r="BC293">
        <v>1</v>
      </c>
      <c r="BD293" t="s">
        <v>3</v>
      </c>
      <c r="BE293" t="s">
        <v>3</v>
      </c>
      <c r="BF293" t="s">
        <v>3</v>
      </c>
      <c r="BG293" t="s">
        <v>3</v>
      </c>
      <c r="BH293">
        <v>0</v>
      </c>
      <c r="BI293">
        <v>1</v>
      </c>
      <c r="BJ293" t="s">
        <v>294</v>
      </c>
      <c r="BM293">
        <v>13001</v>
      </c>
      <c r="BN293">
        <v>0</v>
      </c>
      <c r="BO293" t="s">
        <v>3</v>
      </c>
      <c r="BP293">
        <v>0</v>
      </c>
      <c r="BQ293">
        <v>2</v>
      </c>
      <c r="BR293">
        <v>0</v>
      </c>
      <c r="BS293">
        <v>1</v>
      </c>
      <c r="BT293">
        <v>1</v>
      </c>
      <c r="BU293">
        <v>1</v>
      </c>
      <c r="BV293">
        <v>1</v>
      </c>
      <c r="BW293">
        <v>1</v>
      </c>
      <c r="BX293">
        <v>1</v>
      </c>
      <c r="BY293" t="s">
        <v>3</v>
      </c>
      <c r="BZ293">
        <v>90</v>
      </c>
      <c r="CA293">
        <v>70</v>
      </c>
      <c r="CE293">
        <v>0</v>
      </c>
      <c r="CF293">
        <v>0</v>
      </c>
      <c r="CG293">
        <v>0</v>
      </c>
      <c r="CM293">
        <v>0</v>
      </c>
      <c r="CN293" t="s">
        <v>3</v>
      </c>
      <c r="CO293">
        <v>0</v>
      </c>
      <c r="CP293">
        <f t="shared" si="198"/>
        <v>36.270000000000003</v>
      </c>
      <c r="CQ293">
        <f t="shared" si="199"/>
        <v>189.04</v>
      </c>
      <c r="CR293">
        <f t="shared" si="200"/>
        <v>11.78</v>
      </c>
      <c r="CS293">
        <f t="shared" si="201"/>
        <v>0.13</v>
      </c>
      <c r="CT293">
        <f t="shared" si="202"/>
        <v>52.88</v>
      </c>
      <c r="CU293">
        <f t="shared" si="203"/>
        <v>0</v>
      </c>
      <c r="CV293">
        <f t="shared" si="204"/>
        <v>6.1064999999999987</v>
      </c>
      <c r="CW293">
        <f t="shared" si="205"/>
        <v>1.2500000000000001E-2</v>
      </c>
      <c r="CX293">
        <f t="shared" si="206"/>
        <v>0</v>
      </c>
      <c r="CY293">
        <f t="shared" si="218"/>
        <v>6.8219999999999992</v>
      </c>
      <c r="CZ293">
        <f t="shared" si="219"/>
        <v>4.5479999999999992</v>
      </c>
      <c r="DC293" t="s">
        <v>3</v>
      </c>
      <c r="DD293" t="s">
        <v>3</v>
      </c>
      <c r="DE293" t="s">
        <v>12</v>
      </c>
      <c r="DF293" t="s">
        <v>12</v>
      </c>
      <c r="DG293" t="s">
        <v>13</v>
      </c>
      <c r="DH293" t="s">
        <v>3</v>
      </c>
      <c r="DI293" t="s">
        <v>13</v>
      </c>
      <c r="DJ293" t="s">
        <v>12</v>
      </c>
      <c r="DK293" t="s">
        <v>3</v>
      </c>
      <c r="DL293" t="s">
        <v>3</v>
      </c>
      <c r="DM293" t="s">
        <v>3</v>
      </c>
      <c r="DN293">
        <v>0</v>
      </c>
      <c r="DO293">
        <v>0</v>
      </c>
      <c r="DP293">
        <v>1</v>
      </c>
      <c r="DQ293">
        <v>1</v>
      </c>
      <c r="DU293">
        <v>1005</v>
      </c>
      <c r="DV293" t="s">
        <v>293</v>
      </c>
      <c r="DW293" t="s">
        <v>293</v>
      </c>
      <c r="DX293">
        <v>100</v>
      </c>
      <c r="EE293">
        <v>39190906</v>
      </c>
      <c r="EF293">
        <v>2</v>
      </c>
      <c r="EG293" t="s">
        <v>31</v>
      </c>
      <c r="EH293">
        <v>0</v>
      </c>
      <c r="EI293" t="s">
        <v>3</v>
      </c>
      <c r="EJ293">
        <v>1</v>
      </c>
      <c r="EK293">
        <v>13001</v>
      </c>
      <c r="EL293" t="s">
        <v>295</v>
      </c>
      <c r="EM293" t="s">
        <v>296</v>
      </c>
      <c r="EO293" t="s">
        <v>3</v>
      </c>
      <c r="EQ293">
        <v>0</v>
      </c>
      <c r="ER293">
        <v>244.44</v>
      </c>
      <c r="ES293">
        <v>189.04</v>
      </c>
      <c r="ET293">
        <v>9.42</v>
      </c>
      <c r="EU293">
        <v>0.1</v>
      </c>
      <c r="EV293">
        <v>45.98</v>
      </c>
      <c r="EW293">
        <v>5.31</v>
      </c>
      <c r="EX293">
        <v>0.01</v>
      </c>
      <c r="EY293">
        <v>0</v>
      </c>
      <c r="FQ293">
        <v>0</v>
      </c>
      <c r="FR293">
        <f t="shared" si="207"/>
        <v>0</v>
      </c>
      <c r="FS293">
        <v>0</v>
      </c>
      <c r="FU293" t="s">
        <v>34</v>
      </c>
      <c r="FX293">
        <v>90</v>
      </c>
      <c r="FY293">
        <v>59.5</v>
      </c>
      <c r="GA293" t="s">
        <v>3</v>
      </c>
      <c r="GD293">
        <v>1</v>
      </c>
      <c r="GF293">
        <v>1736628370</v>
      </c>
      <c r="GG293">
        <v>2</v>
      </c>
      <c r="GH293">
        <v>0</v>
      </c>
      <c r="GI293">
        <v>0</v>
      </c>
      <c r="GJ293">
        <v>0</v>
      </c>
      <c r="GK293">
        <v>0</v>
      </c>
      <c r="GL293">
        <f t="shared" si="208"/>
        <v>0</v>
      </c>
      <c r="GM293">
        <f t="shared" si="209"/>
        <v>47.64</v>
      </c>
      <c r="GN293">
        <f t="shared" si="210"/>
        <v>47.64</v>
      </c>
      <c r="GO293">
        <f t="shared" si="211"/>
        <v>0</v>
      </c>
      <c r="GP293">
        <f t="shared" si="212"/>
        <v>0</v>
      </c>
      <c r="GR293">
        <v>0</v>
      </c>
      <c r="GS293">
        <v>0</v>
      </c>
      <c r="GT293">
        <v>0</v>
      </c>
      <c r="GU293" t="s">
        <v>3</v>
      </c>
      <c r="GV293">
        <f t="shared" si="213"/>
        <v>0</v>
      </c>
      <c r="GW293">
        <v>1</v>
      </c>
      <c r="GX293">
        <f t="shared" si="214"/>
        <v>0</v>
      </c>
      <c r="HA293">
        <v>0</v>
      </c>
      <c r="HB293">
        <v>0</v>
      </c>
      <c r="HC293">
        <f t="shared" si="215"/>
        <v>0</v>
      </c>
      <c r="IK293">
        <v>0</v>
      </c>
    </row>
    <row r="294" spans="1:245" x14ac:dyDescent="0.2">
      <c r="A294">
        <v>17</v>
      </c>
      <c r="B294">
        <v>1</v>
      </c>
      <c r="C294">
        <f>ROW(SmtRes!A198)</f>
        <v>198</v>
      </c>
      <c r="D294">
        <f>ROW(EtalonRes!A200)</f>
        <v>200</v>
      </c>
      <c r="E294" t="s">
        <v>297</v>
      </c>
      <c r="F294" t="s">
        <v>298</v>
      </c>
      <c r="G294" t="s">
        <v>299</v>
      </c>
      <c r="H294" t="s">
        <v>293</v>
      </c>
      <c r="I294">
        <v>0.14299999999999999</v>
      </c>
      <c r="J294">
        <v>0</v>
      </c>
      <c r="O294">
        <f t="shared" si="184"/>
        <v>45.35</v>
      </c>
      <c r="P294">
        <f t="shared" si="185"/>
        <v>39.590000000000003</v>
      </c>
      <c r="Q294">
        <f t="shared" si="186"/>
        <v>1.1100000000000001</v>
      </c>
      <c r="R294">
        <f t="shared" si="187"/>
        <v>0.02</v>
      </c>
      <c r="S294">
        <f t="shared" si="188"/>
        <v>4.6500000000000004</v>
      </c>
      <c r="T294">
        <f t="shared" si="189"/>
        <v>0</v>
      </c>
      <c r="U294">
        <f t="shared" si="190"/>
        <v>0.62984349999999989</v>
      </c>
      <c r="V294">
        <f t="shared" si="191"/>
        <v>1.7875E-3</v>
      </c>
      <c r="W294">
        <f t="shared" si="192"/>
        <v>0</v>
      </c>
      <c r="X294">
        <f t="shared" si="193"/>
        <v>4.2</v>
      </c>
      <c r="Y294">
        <f t="shared" si="194"/>
        <v>2.8</v>
      </c>
      <c r="AA294">
        <v>39201625</v>
      </c>
      <c r="AB294">
        <f t="shared" si="195"/>
        <v>317.16000000000003</v>
      </c>
      <c r="AC294">
        <f t="shared" si="216"/>
        <v>276.88</v>
      </c>
      <c r="AD294">
        <f>ROUND(((((ET294*1.25))-((EU294*1.25)))+AE294),2)</f>
        <v>7.77</v>
      </c>
      <c r="AE294">
        <f>ROUND(((EU294*1.25)),2)</f>
        <v>0.13</v>
      </c>
      <c r="AF294">
        <f>ROUND(((EV294*1.15)),2)</f>
        <v>32.51</v>
      </c>
      <c r="AG294">
        <f t="shared" si="196"/>
        <v>0</v>
      </c>
      <c r="AH294">
        <f>((EW294*1.15))</f>
        <v>4.4044999999999996</v>
      </c>
      <c r="AI294">
        <f>((EX294*1.25))</f>
        <v>1.2500000000000001E-2</v>
      </c>
      <c r="AJ294">
        <f t="shared" si="197"/>
        <v>0</v>
      </c>
      <c r="AK294">
        <v>311.36</v>
      </c>
      <c r="AL294">
        <v>276.88</v>
      </c>
      <c r="AM294">
        <v>6.21</v>
      </c>
      <c r="AN294">
        <v>0.1</v>
      </c>
      <c r="AO294">
        <v>28.27</v>
      </c>
      <c r="AP294">
        <v>0</v>
      </c>
      <c r="AQ294">
        <v>3.83</v>
      </c>
      <c r="AR294">
        <v>0.01</v>
      </c>
      <c r="AS294">
        <v>0</v>
      </c>
      <c r="AT294">
        <v>90</v>
      </c>
      <c r="AU294">
        <v>60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1</v>
      </c>
      <c r="BJ294" t="s">
        <v>300</v>
      </c>
      <c r="BM294">
        <v>13001</v>
      </c>
      <c r="BN294">
        <v>0</v>
      </c>
      <c r="BO294" t="s">
        <v>3</v>
      </c>
      <c r="BP294">
        <v>0</v>
      </c>
      <c r="BQ294">
        <v>2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90</v>
      </c>
      <c r="CA294">
        <v>70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si="198"/>
        <v>45.35</v>
      </c>
      <c r="CQ294">
        <f t="shared" si="199"/>
        <v>276.88</v>
      </c>
      <c r="CR294">
        <f t="shared" si="200"/>
        <v>7.77</v>
      </c>
      <c r="CS294">
        <f t="shared" si="201"/>
        <v>0.13</v>
      </c>
      <c r="CT294">
        <f t="shared" si="202"/>
        <v>32.51</v>
      </c>
      <c r="CU294">
        <f t="shared" si="203"/>
        <v>0</v>
      </c>
      <c r="CV294">
        <f t="shared" si="204"/>
        <v>4.4044999999999996</v>
      </c>
      <c r="CW294">
        <f t="shared" si="205"/>
        <v>1.2500000000000001E-2</v>
      </c>
      <c r="CX294">
        <f t="shared" si="206"/>
        <v>0</v>
      </c>
      <c r="CY294">
        <f t="shared" si="218"/>
        <v>4.2030000000000003</v>
      </c>
      <c r="CZ294">
        <f t="shared" si="219"/>
        <v>2.802</v>
      </c>
      <c r="DC294" t="s">
        <v>3</v>
      </c>
      <c r="DD294" t="s">
        <v>3</v>
      </c>
      <c r="DE294" t="s">
        <v>12</v>
      </c>
      <c r="DF294" t="s">
        <v>12</v>
      </c>
      <c r="DG294" t="s">
        <v>13</v>
      </c>
      <c r="DH294" t="s">
        <v>3</v>
      </c>
      <c r="DI294" t="s">
        <v>13</v>
      </c>
      <c r="DJ294" t="s">
        <v>12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1005</v>
      </c>
      <c r="DV294" t="s">
        <v>293</v>
      </c>
      <c r="DW294" t="s">
        <v>293</v>
      </c>
      <c r="DX294">
        <v>100</v>
      </c>
      <c r="EE294">
        <v>39190906</v>
      </c>
      <c r="EF294">
        <v>2</v>
      </c>
      <c r="EG294" t="s">
        <v>31</v>
      </c>
      <c r="EH294">
        <v>0</v>
      </c>
      <c r="EI294" t="s">
        <v>3</v>
      </c>
      <c r="EJ294">
        <v>1</v>
      </c>
      <c r="EK294">
        <v>13001</v>
      </c>
      <c r="EL294" t="s">
        <v>295</v>
      </c>
      <c r="EM294" t="s">
        <v>296</v>
      </c>
      <c r="EO294" t="s">
        <v>3</v>
      </c>
      <c r="EQ294">
        <v>0</v>
      </c>
      <c r="ER294">
        <v>311.36</v>
      </c>
      <c r="ES294">
        <v>276.88</v>
      </c>
      <c r="ET294">
        <v>6.21</v>
      </c>
      <c r="EU294">
        <v>0.1</v>
      </c>
      <c r="EV294">
        <v>28.27</v>
      </c>
      <c r="EW294">
        <v>3.83</v>
      </c>
      <c r="EX294">
        <v>0.01</v>
      </c>
      <c r="EY294">
        <v>0</v>
      </c>
      <c r="FQ294">
        <v>0</v>
      </c>
      <c r="FR294">
        <f t="shared" si="207"/>
        <v>0</v>
      </c>
      <c r="FS294">
        <v>0</v>
      </c>
      <c r="FU294" t="s">
        <v>34</v>
      </c>
      <c r="FX294">
        <v>90</v>
      </c>
      <c r="FY294">
        <v>59.5</v>
      </c>
      <c r="GA294" t="s">
        <v>3</v>
      </c>
      <c r="GD294">
        <v>1</v>
      </c>
      <c r="GF294">
        <v>155487398</v>
      </c>
      <c r="GG294">
        <v>2</v>
      </c>
      <c r="GH294">
        <v>0</v>
      </c>
      <c r="GI294">
        <v>0</v>
      </c>
      <c r="GJ294">
        <v>0</v>
      </c>
      <c r="GK294">
        <v>0</v>
      </c>
      <c r="GL294">
        <f t="shared" si="208"/>
        <v>0</v>
      </c>
      <c r="GM294">
        <f t="shared" si="209"/>
        <v>52.35</v>
      </c>
      <c r="GN294">
        <f t="shared" si="210"/>
        <v>52.35</v>
      </c>
      <c r="GO294">
        <f t="shared" si="211"/>
        <v>0</v>
      </c>
      <c r="GP294">
        <f t="shared" si="212"/>
        <v>0</v>
      </c>
      <c r="GR294">
        <v>0</v>
      </c>
      <c r="GS294">
        <v>0</v>
      </c>
      <c r="GT294">
        <v>0</v>
      </c>
      <c r="GU294" t="s">
        <v>3</v>
      </c>
      <c r="GV294">
        <f t="shared" si="213"/>
        <v>0</v>
      </c>
      <c r="GW294">
        <v>1</v>
      </c>
      <c r="GX294">
        <f t="shared" si="214"/>
        <v>0</v>
      </c>
      <c r="HA294">
        <v>0</v>
      </c>
      <c r="HB294">
        <v>0</v>
      </c>
      <c r="HC294">
        <f t="shared" si="215"/>
        <v>0</v>
      </c>
      <c r="IK294">
        <v>0</v>
      </c>
    </row>
    <row r="296" spans="1:245" x14ac:dyDescent="0.2">
      <c r="A296" s="2">
        <v>51</v>
      </c>
      <c r="B296" s="2">
        <f>B275</f>
        <v>1</v>
      </c>
      <c r="C296" s="2">
        <f>A275</f>
        <v>5</v>
      </c>
      <c r="D296" s="2">
        <f>ROW(A275)</f>
        <v>275</v>
      </c>
      <c r="E296" s="2"/>
      <c r="F296" s="2" t="str">
        <f>IF(F275&lt;&gt;"",F275,"")</f>
        <v>Новый подраздел</v>
      </c>
      <c r="G296" s="2" t="str">
        <f>IF(G275&lt;&gt;"",G275,"")</f>
        <v>Площадка для мусорных контейнеров</v>
      </c>
      <c r="H296" s="2">
        <v>0</v>
      </c>
      <c r="I296" s="2"/>
      <c r="J296" s="2"/>
      <c r="K296" s="2"/>
      <c r="L296" s="2"/>
      <c r="M296" s="2"/>
      <c r="N296" s="2"/>
      <c r="O296" s="2">
        <f t="shared" ref="O296:T296" si="222">ROUND(AB296,2)</f>
        <v>9992.35</v>
      </c>
      <c r="P296" s="2">
        <f t="shared" si="222"/>
        <v>8472.5400000000009</v>
      </c>
      <c r="Q296" s="2">
        <f t="shared" si="222"/>
        <v>1068.57</v>
      </c>
      <c r="R296" s="2">
        <f t="shared" si="222"/>
        <v>154.85</v>
      </c>
      <c r="S296" s="2">
        <f t="shared" si="222"/>
        <v>451.24</v>
      </c>
      <c r="T296" s="2">
        <f t="shared" si="222"/>
        <v>0</v>
      </c>
      <c r="U296" s="2">
        <f>AH296</f>
        <v>65.365304100000003</v>
      </c>
      <c r="V296" s="2">
        <f>AI296</f>
        <v>13.980285000000002</v>
      </c>
      <c r="W296" s="2">
        <f>ROUND(AJ296,2)</f>
        <v>0</v>
      </c>
      <c r="X296" s="2">
        <f>ROUND(AK296,2)</f>
        <v>580.42999999999995</v>
      </c>
      <c r="Y296" s="2">
        <f>ROUND(AL296,2)</f>
        <v>403.28</v>
      </c>
      <c r="Z296" s="2"/>
      <c r="AA296" s="2"/>
      <c r="AB296" s="2">
        <f>ROUND(SUMIF(AA279:AA294,"=39201625",O279:O294),2)</f>
        <v>9992.35</v>
      </c>
      <c r="AC296" s="2">
        <f>ROUND(SUMIF(AA279:AA294,"=39201625",P279:P294),2)</f>
        <v>8472.5400000000009</v>
      </c>
      <c r="AD296" s="2">
        <f>ROUND(SUMIF(AA279:AA294,"=39201625",Q279:Q294),2)</f>
        <v>1068.57</v>
      </c>
      <c r="AE296" s="2">
        <f>ROUND(SUMIF(AA279:AA294,"=39201625",R279:R294),2)</f>
        <v>154.85</v>
      </c>
      <c r="AF296" s="2">
        <f>ROUND(SUMIF(AA279:AA294,"=39201625",S279:S294),2)</f>
        <v>451.24</v>
      </c>
      <c r="AG296" s="2">
        <f>ROUND(SUMIF(AA279:AA294,"=39201625",T279:T294),2)</f>
        <v>0</v>
      </c>
      <c r="AH296" s="2">
        <f>SUMIF(AA279:AA294,"=39201625",U279:U294)</f>
        <v>65.365304100000003</v>
      </c>
      <c r="AI296" s="2">
        <f>SUMIF(AA279:AA294,"=39201625",V279:V294)</f>
        <v>13.980285000000002</v>
      </c>
      <c r="AJ296" s="2">
        <f>ROUND(SUMIF(AA279:AA294,"=39201625",W279:W294),2)</f>
        <v>0</v>
      </c>
      <c r="AK296" s="2">
        <f>ROUND(SUMIF(AA279:AA294,"=39201625",X279:X294),2)</f>
        <v>580.42999999999995</v>
      </c>
      <c r="AL296" s="2">
        <f>ROUND(SUMIF(AA279:AA294,"=39201625",Y279:Y294),2)</f>
        <v>403.28</v>
      </c>
      <c r="AM296" s="2"/>
      <c r="AN296" s="2"/>
      <c r="AO296" s="2">
        <f t="shared" ref="AO296:BD296" si="223">ROUND(BX296,2)</f>
        <v>0</v>
      </c>
      <c r="AP296" s="2">
        <f t="shared" si="223"/>
        <v>0</v>
      </c>
      <c r="AQ296" s="2">
        <f t="shared" si="223"/>
        <v>0</v>
      </c>
      <c r="AR296" s="2">
        <f t="shared" si="223"/>
        <v>10976.06</v>
      </c>
      <c r="AS296" s="2">
        <f t="shared" si="223"/>
        <v>10976.06</v>
      </c>
      <c r="AT296" s="2">
        <f t="shared" si="223"/>
        <v>0</v>
      </c>
      <c r="AU296" s="2">
        <f t="shared" si="223"/>
        <v>0</v>
      </c>
      <c r="AV296" s="2">
        <f t="shared" si="223"/>
        <v>8472.5400000000009</v>
      </c>
      <c r="AW296" s="2">
        <f t="shared" si="223"/>
        <v>8472.5400000000009</v>
      </c>
      <c r="AX296" s="2">
        <f t="shared" si="223"/>
        <v>0</v>
      </c>
      <c r="AY296" s="2">
        <f t="shared" si="223"/>
        <v>8472.5400000000009</v>
      </c>
      <c r="AZ296" s="2">
        <f t="shared" si="223"/>
        <v>0</v>
      </c>
      <c r="BA296" s="2">
        <f t="shared" si="223"/>
        <v>0</v>
      </c>
      <c r="BB296" s="2">
        <f t="shared" si="223"/>
        <v>0</v>
      </c>
      <c r="BC296" s="2">
        <f t="shared" si="223"/>
        <v>0</v>
      </c>
      <c r="BD296" s="2">
        <f t="shared" si="223"/>
        <v>223.74</v>
      </c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>
        <f>ROUND(SUMIF(AA279:AA294,"=39201625",FQ279:FQ294),2)</f>
        <v>0</v>
      </c>
      <c r="BY296" s="2">
        <f>ROUND(SUMIF(AA279:AA294,"=39201625",FR279:FR294),2)</f>
        <v>0</v>
      </c>
      <c r="BZ296" s="2">
        <f>ROUND(SUMIF(AA279:AA294,"=39201625",GL279:GL294),2)</f>
        <v>0</v>
      </c>
      <c r="CA296" s="2">
        <f>ROUND(SUMIF(AA279:AA294,"=39201625",GM279:GM294),2)</f>
        <v>10976.06</v>
      </c>
      <c r="CB296" s="2">
        <f>ROUND(SUMIF(AA279:AA294,"=39201625",GN279:GN294),2)</f>
        <v>10976.06</v>
      </c>
      <c r="CC296" s="2">
        <f>ROUND(SUMIF(AA279:AA294,"=39201625",GO279:GO294),2)</f>
        <v>0</v>
      </c>
      <c r="CD296" s="2">
        <f>ROUND(SUMIF(AA279:AA294,"=39201625",GP279:GP294),2)</f>
        <v>0</v>
      </c>
      <c r="CE296" s="2">
        <f>AC296-BX296</f>
        <v>8472.5400000000009</v>
      </c>
      <c r="CF296" s="2">
        <f>AC296-BY296</f>
        <v>8472.5400000000009</v>
      </c>
      <c r="CG296" s="2">
        <f>BX296-BZ296</f>
        <v>0</v>
      </c>
      <c r="CH296" s="2">
        <f>AC296-BX296-BY296+BZ296</f>
        <v>8472.5400000000009</v>
      </c>
      <c r="CI296" s="2">
        <f>BY296-BZ296</f>
        <v>0</v>
      </c>
      <c r="CJ296" s="2">
        <f>ROUND(SUMIF(AA279:AA294,"=39201625",GX279:GX294),2)</f>
        <v>0</v>
      </c>
      <c r="CK296" s="2">
        <f>ROUND(SUMIF(AA279:AA294,"=39201625",GY279:GY294),2)</f>
        <v>0</v>
      </c>
      <c r="CL296" s="2">
        <f>ROUND(SUMIF(AA279:AA294,"=39201625",GZ279:GZ294),2)</f>
        <v>0</v>
      </c>
      <c r="CM296" s="2">
        <f>ROUND(SUMIF(AA279:AA294,"=39201625",HD279:HD294),2)</f>
        <v>223.74</v>
      </c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3"/>
      <c r="DH296" s="3"/>
      <c r="DI296" s="3"/>
      <c r="DJ296" s="3"/>
      <c r="DK296" s="3"/>
      <c r="DL296" s="3"/>
      <c r="DM296" s="3"/>
      <c r="DN296" s="3"/>
      <c r="DO296" s="3"/>
      <c r="DP296" s="3"/>
      <c r="DQ296" s="3"/>
      <c r="DR296" s="3"/>
      <c r="DS296" s="3"/>
      <c r="DT296" s="3"/>
      <c r="DU296" s="3"/>
      <c r="DV296" s="3"/>
      <c r="DW296" s="3"/>
      <c r="DX296" s="3"/>
      <c r="DY296" s="3"/>
      <c r="DZ296" s="3"/>
      <c r="EA296" s="3"/>
      <c r="EB296" s="3"/>
      <c r="EC296" s="3"/>
      <c r="ED296" s="3"/>
      <c r="EE296" s="3"/>
      <c r="EF296" s="3"/>
      <c r="EG296" s="3"/>
      <c r="EH296" s="3"/>
      <c r="EI296" s="3"/>
      <c r="EJ296" s="3"/>
      <c r="EK296" s="3"/>
      <c r="EL296" s="3"/>
      <c r="EM296" s="3"/>
      <c r="EN296" s="3"/>
      <c r="EO296" s="3"/>
      <c r="EP296" s="3"/>
      <c r="EQ296" s="3"/>
      <c r="ER296" s="3"/>
      <c r="ES296" s="3"/>
      <c r="ET296" s="3"/>
      <c r="EU296" s="3"/>
      <c r="EV296" s="3"/>
      <c r="EW296" s="3"/>
      <c r="EX296" s="3"/>
      <c r="EY296" s="3"/>
      <c r="EZ296" s="3"/>
      <c r="FA296" s="3"/>
      <c r="FB296" s="3"/>
      <c r="FC296" s="3"/>
      <c r="FD296" s="3"/>
      <c r="FE296" s="3"/>
      <c r="FF296" s="3"/>
      <c r="FG296" s="3"/>
      <c r="FH296" s="3"/>
      <c r="FI296" s="3"/>
      <c r="FJ296" s="3"/>
      <c r="FK296" s="3"/>
      <c r="FL296" s="3"/>
      <c r="FM296" s="3"/>
      <c r="FN296" s="3"/>
      <c r="FO296" s="3"/>
      <c r="FP296" s="3"/>
      <c r="FQ296" s="3"/>
      <c r="FR296" s="3"/>
      <c r="FS296" s="3"/>
      <c r="FT296" s="3"/>
      <c r="FU296" s="3"/>
      <c r="FV296" s="3"/>
      <c r="FW296" s="3"/>
      <c r="FX296" s="3"/>
      <c r="FY296" s="3"/>
      <c r="FZ296" s="3"/>
      <c r="GA296" s="3"/>
      <c r="GB296" s="3"/>
      <c r="GC296" s="3"/>
      <c r="GD296" s="3"/>
      <c r="GE296" s="3"/>
      <c r="GF296" s="3"/>
      <c r="GG296" s="3"/>
      <c r="GH296" s="3"/>
      <c r="GI296" s="3"/>
      <c r="GJ296" s="3"/>
      <c r="GK296" s="3"/>
      <c r="GL296" s="3"/>
      <c r="GM296" s="3"/>
      <c r="GN296" s="3"/>
      <c r="GO296" s="3"/>
      <c r="GP296" s="3"/>
      <c r="GQ296" s="3"/>
      <c r="GR296" s="3"/>
      <c r="GS296" s="3"/>
      <c r="GT296" s="3"/>
      <c r="GU296" s="3"/>
      <c r="GV296" s="3"/>
      <c r="GW296" s="3"/>
      <c r="GX296" s="3">
        <v>0</v>
      </c>
    </row>
    <row r="298" spans="1:245" x14ac:dyDescent="0.2">
      <c r="A298" s="4">
        <v>50</v>
      </c>
      <c r="B298" s="4">
        <v>0</v>
      </c>
      <c r="C298" s="4">
        <v>0</v>
      </c>
      <c r="D298" s="4">
        <v>1</v>
      </c>
      <c r="E298" s="4">
        <v>201</v>
      </c>
      <c r="F298" s="4">
        <f>ROUND(Source!O296,O298)</f>
        <v>9992.35</v>
      </c>
      <c r="G298" s="4" t="s">
        <v>66</v>
      </c>
      <c r="H298" s="4" t="s">
        <v>67</v>
      </c>
      <c r="I298" s="4"/>
      <c r="J298" s="4"/>
      <c r="K298" s="4">
        <v>201</v>
      </c>
      <c r="L298" s="4">
        <v>1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/>
    </row>
    <row r="299" spans="1:245" x14ac:dyDescent="0.2">
      <c r="A299" s="4">
        <v>50</v>
      </c>
      <c r="B299" s="4">
        <v>0</v>
      </c>
      <c r="C299" s="4">
        <v>0</v>
      </c>
      <c r="D299" s="4">
        <v>1</v>
      </c>
      <c r="E299" s="4">
        <v>202</v>
      </c>
      <c r="F299" s="4">
        <f>ROUND(Source!P296,O299)</f>
        <v>8472.5400000000009</v>
      </c>
      <c r="G299" s="4" t="s">
        <v>68</v>
      </c>
      <c r="H299" s="4" t="s">
        <v>69</v>
      </c>
      <c r="I299" s="4"/>
      <c r="J299" s="4"/>
      <c r="K299" s="4">
        <v>202</v>
      </c>
      <c r="L299" s="4">
        <v>2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/>
    </row>
    <row r="300" spans="1:245" x14ac:dyDescent="0.2">
      <c r="A300" s="4">
        <v>50</v>
      </c>
      <c r="B300" s="4">
        <v>0</v>
      </c>
      <c r="C300" s="4">
        <v>0</v>
      </c>
      <c r="D300" s="4">
        <v>1</v>
      </c>
      <c r="E300" s="4">
        <v>222</v>
      </c>
      <c r="F300" s="4">
        <f>ROUND(Source!AO296,O300)</f>
        <v>0</v>
      </c>
      <c r="G300" s="4" t="s">
        <v>70</v>
      </c>
      <c r="H300" s="4" t="s">
        <v>71</v>
      </c>
      <c r="I300" s="4"/>
      <c r="J300" s="4"/>
      <c r="K300" s="4">
        <v>222</v>
      </c>
      <c r="L300" s="4">
        <v>3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/>
    </row>
    <row r="301" spans="1:245" x14ac:dyDescent="0.2">
      <c r="A301" s="4">
        <v>50</v>
      </c>
      <c r="B301" s="4">
        <v>0</v>
      </c>
      <c r="C301" s="4">
        <v>0</v>
      </c>
      <c r="D301" s="4">
        <v>1</v>
      </c>
      <c r="E301" s="4">
        <v>225</v>
      </c>
      <c r="F301" s="4">
        <f>ROUND(Source!AV296,O301)</f>
        <v>8472.5400000000009</v>
      </c>
      <c r="G301" s="4" t="s">
        <v>72</v>
      </c>
      <c r="H301" s="4" t="s">
        <v>73</v>
      </c>
      <c r="I301" s="4"/>
      <c r="J301" s="4"/>
      <c r="K301" s="4">
        <v>225</v>
      </c>
      <c r="L301" s="4">
        <v>4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/>
    </row>
    <row r="302" spans="1:245" x14ac:dyDescent="0.2">
      <c r="A302" s="4">
        <v>50</v>
      </c>
      <c r="B302" s="4">
        <v>0</v>
      </c>
      <c r="C302" s="4">
        <v>0</v>
      </c>
      <c r="D302" s="4">
        <v>1</v>
      </c>
      <c r="E302" s="4">
        <v>226</v>
      </c>
      <c r="F302" s="4">
        <f>ROUND(Source!AW296,O302)</f>
        <v>8472.5400000000009</v>
      </c>
      <c r="G302" s="4" t="s">
        <v>74</v>
      </c>
      <c r="H302" s="4" t="s">
        <v>75</v>
      </c>
      <c r="I302" s="4"/>
      <c r="J302" s="4"/>
      <c r="K302" s="4">
        <v>226</v>
      </c>
      <c r="L302" s="4">
        <v>5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/>
    </row>
    <row r="303" spans="1:245" x14ac:dyDescent="0.2">
      <c r="A303" s="4">
        <v>50</v>
      </c>
      <c r="B303" s="4">
        <v>0</v>
      </c>
      <c r="C303" s="4">
        <v>0</v>
      </c>
      <c r="D303" s="4">
        <v>1</v>
      </c>
      <c r="E303" s="4">
        <v>227</v>
      </c>
      <c r="F303" s="4">
        <f>ROUND(Source!AX296,O303)</f>
        <v>0</v>
      </c>
      <c r="G303" s="4" t="s">
        <v>76</v>
      </c>
      <c r="H303" s="4" t="s">
        <v>77</v>
      </c>
      <c r="I303" s="4"/>
      <c r="J303" s="4"/>
      <c r="K303" s="4">
        <v>227</v>
      </c>
      <c r="L303" s="4">
        <v>6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/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228</v>
      </c>
      <c r="F304" s="4">
        <f>ROUND(Source!AY296,O304)</f>
        <v>8472.5400000000009</v>
      </c>
      <c r="G304" s="4" t="s">
        <v>78</v>
      </c>
      <c r="H304" s="4" t="s">
        <v>79</v>
      </c>
      <c r="I304" s="4"/>
      <c r="J304" s="4"/>
      <c r="K304" s="4">
        <v>228</v>
      </c>
      <c r="L304" s="4">
        <v>7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/>
    </row>
    <row r="305" spans="1:23" x14ac:dyDescent="0.2">
      <c r="A305" s="4">
        <v>50</v>
      </c>
      <c r="B305" s="4">
        <v>0</v>
      </c>
      <c r="C305" s="4">
        <v>0</v>
      </c>
      <c r="D305" s="4">
        <v>1</v>
      </c>
      <c r="E305" s="4">
        <v>216</v>
      </c>
      <c r="F305" s="4">
        <f>ROUND(Source!AP296,O305)</f>
        <v>0</v>
      </c>
      <c r="G305" s="4" t="s">
        <v>80</v>
      </c>
      <c r="H305" s="4" t="s">
        <v>81</v>
      </c>
      <c r="I305" s="4"/>
      <c r="J305" s="4"/>
      <c r="K305" s="4">
        <v>216</v>
      </c>
      <c r="L305" s="4">
        <v>8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/>
    </row>
    <row r="306" spans="1:23" x14ac:dyDescent="0.2">
      <c r="A306" s="4">
        <v>50</v>
      </c>
      <c r="B306" s="4">
        <v>0</v>
      </c>
      <c r="C306" s="4">
        <v>0</v>
      </c>
      <c r="D306" s="4">
        <v>1</v>
      </c>
      <c r="E306" s="4">
        <v>223</v>
      </c>
      <c r="F306" s="4">
        <f>ROUND(Source!AQ296,O306)</f>
        <v>0</v>
      </c>
      <c r="G306" s="4" t="s">
        <v>82</v>
      </c>
      <c r="H306" s="4" t="s">
        <v>83</v>
      </c>
      <c r="I306" s="4"/>
      <c r="J306" s="4"/>
      <c r="K306" s="4">
        <v>223</v>
      </c>
      <c r="L306" s="4">
        <v>9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0</v>
      </c>
      <c r="C307" s="4">
        <v>0</v>
      </c>
      <c r="D307" s="4">
        <v>1</v>
      </c>
      <c r="E307" s="4">
        <v>229</v>
      </c>
      <c r="F307" s="4">
        <f>ROUND(Source!AZ296,O307)</f>
        <v>0</v>
      </c>
      <c r="G307" s="4" t="s">
        <v>84</v>
      </c>
      <c r="H307" s="4" t="s">
        <v>85</v>
      </c>
      <c r="I307" s="4"/>
      <c r="J307" s="4"/>
      <c r="K307" s="4">
        <v>229</v>
      </c>
      <c r="L307" s="4">
        <v>10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0</v>
      </c>
      <c r="C308" s="4">
        <v>0</v>
      </c>
      <c r="D308" s="4">
        <v>1</v>
      </c>
      <c r="E308" s="4">
        <v>203</v>
      </c>
      <c r="F308" s="4">
        <f>ROUND(Source!Q296,O308)</f>
        <v>1068.57</v>
      </c>
      <c r="G308" s="4" t="s">
        <v>86</v>
      </c>
      <c r="H308" s="4" t="s">
        <v>87</v>
      </c>
      <c r="I308" s="4"/>
      <c r="J308" s="4"/>
      <c r="K308" s="4">
        <v>203</v>
      </c>
      <c r="L308" s="4">
        <v>11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1</v>
      </c>
      <c r="E309" s="4">
        <v>231</v>
      </c>
      <c r="F309" s="4">
        <f>ROUND(Source!BB296,O309)</f>
        <v>0</v>
      </c>
      <c r="G309" s="4" t="s">
        <v>88</v>
      </c>
      <c r="H309" s="4" t="s">
        <v>89</v>
      </c>
      <c r="I309" s="4"/>
      <c r="J309" s="4"/>
      <c r="K309" s="4">
        <v>231</v>
      </c>
      <c r="L309" s="4">
        <v>12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1</v>
      </c>
      <c r="E310" s="4">
        <v>204</v>
      </c>
      <c r="F310" s="4">
        <f>ROUND(Source!R296,O310)</f>
        <v>154.85</v>
      </c>
      <c r="G310" s="4" t="s">
        <v>90</v>
      </c>
      <c r="H310" s="4" t="s">
        <v>91</v>
      </c>
      <c r="I310" s="4"/>
      <c r="J310" s="4"/>
      <c r="K310" s="4">
        <v>204</v>
      </c>
      <c r="L310" s="4">
        <v>13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1</v>
      </c>
      <c r="E311" s="4">
        <v>205</v>
      </c>
      <c r="F311" s="4">
        <f>ROUND(Source!S296,O311)</f>
        <v>451.24</v>
      </c>
      <c r="G311" s="4" t="s">
        <v>92</v>
      </c>
      <c r="H311" s="4" t="s">
        <v>93</v>
      </c>
      <c r="I311" s="4"/>
      <c r="J311" s="4"/>
      <c r="K311" s="4">
        <v>205</v>
      </c>
      <c r="L311" s="4">
        <v>14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1</v>
      </c>
      <c r="E312" s="4">
        <v>232</v>
      </c>
      <c r="F312" s="4">
        <f>ROUND(Source!BC296,O312)</f>
        <v>0</v>
      </c>
      <c r="G312" s="4" t="s">
        <v>94</v>
      </c>
      <c r="H312" s="4" t="s">
        <v>95</v>
      </c>
      <c r="I312" s="4"/>
      <c r="J312" s="4"/>
      <c r="K312" s="4">
        <v>232</v>
      </c>
      <c r="L312" s="4">
        <v>15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1</v>
      </c>
      <c r="E313" s="4">
        <v>214</v>
      </c>
      <c r="F313" s="4">
        <f>ROUND(Source!AS296,O313)</f>
        <v>10976.06</v>
      </c>
      <c r="G313" s="4" t="s">
        <v>96</v>
      </c>
      <c r="H313" s="4" t="s">
        <v>97</v>
      </c>
      <c r="I313" s="4"/>
      <c r="J313" s="4"/>
      <c r="K313" s="4">
        <v>214</v>
      </c>
      <c r="L313" s="4">
        <v>16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1</v>
      </c>
      <c r="E314" s="4">
        <v>215</v>
      </c>
      <c r="F314" s="4">
        <f>ROUND(Source!AT296,O314)</f>
        <v>0</v>
      </c>
      <c r="G314" s="4" t="s">
        <v>98</v>
      </c>
      <c r="H314" s="4" t="s">
        <v>99</v>
      </c>
      <c r="I314" s="4"/>
      <c r="J314" s="4"/>
      <c r="K314" s="4">
        <v>215</v>
      </c>
      <c r="L314" s="4">
        <v>17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1</v>
      </c>
      <c r="E315" s="4">
        <v>217</v>
      </c>
      <c r="F315" s="4">
        <f>ROUND(Source!AU296,O315)</f>
        <v>0</v>
      </c>
      <c r="G315" s="4" t="s">
        <v>100</v>
      </c>
      <c r="H315" s="4" t="s">
        <v>101</v>
      </c>
      <c r="I315" s="4"/>
      <c r="J315" s="4"/>
      <c r="K315" s="4">
        <v>217</v>
      </c>
      <c r="L315" s="4">
        <v>18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1</v>
      </c>
      <c r="E316" s="4">
        <v>230</v>
      </c>
      <c r="F316" s="4">
        <f>ROUND(Source!BA296,O316)</f>
        <v>0</v>
      </c>
      <c r="G316" s="4" t="s">
        <v>102</v>
      </c>
      <c r="H316" s="4" t="s">
        <v>103</v>
      </c>
      <c r="I316" s="4"/>
      <c r="J316" s="4"/>
      <c r="K316" s="4">
        <v>230</v>
      </c>
      <c r="L316" s="4">
        <v>19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1</v>
      </c>
      <c r="E317" s="4">
        <v>206</v>
      </c>
      <c r="F317" s="4">
        <f>ROUND(Source!T296,O317)</f>
        <v>0</v>
      </c>
      <c r="G317" s="4" t="s">
        <v>104</v>
      </c>
      <c r="H317" s="4" t="s">
        <v>105</v>
      </c>
      <c r="I317" s="4"/>
      <c r="J317" s="4"/>
      <c r="K317" s="4">
        <v>206</v>
      </c>
      <c r="L317" s="4">
        <v>20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1</v>
      </c>
      <c r="E318" s="4">
        <v>207</v>
      </c>
      <c r="F318" s="4">
        <f>Source!U296</f>
        <v>65.365304100000003</v>
      </c>
      <c r="G318" s="4" t="s">
        <v>106</v>
      </c>
      <c r="H318" s="4" t="s">
        <v>107</v>
      </c>
      <c r="I318" s="4"/>
      <c r="J318" s="4"/>
      <c r="K318" s="4">
        <v>207</v>
      </c>
      <c r="L318" s="4">
        <v>21</v>
      </c>
      <c r="M318" s="4">
        <v>3</v>
      </c>
      <c r="N318" s="4" t="s">
        <v>3</v>
      </c>
      <c r="O318" s="4">
        <v>-1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1</v>
      </c>
      <c r="E319" s="4">
        <v>208</v>
      </c>
      <c r="F319" s="4">
        <f>Source!V296</f>
        <v>13.980285000000002</v>
      </c>
      <c r="G319" s="4" t="s">
        <v>108</v>
      </c>
      <c r="H319" s="4" t="s">
        <v>109</v>
      </c>
      <c r="I319" s="4"/>
      <c r="J319" s="4"/>
      <c r="K319" s="4">
        <v>208</v>
      </c>
      <c r="L319" s="4">
        <v>22</v>
      </c>
      <c r="M319" s="4">
        <v>3</v>
      </c>
      <c r="N319" s="4" t="s">
        <v>3</v>
      </c>
      <c r="O319" s="4">
        <v>-1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1</v>
      </c>
      <c r="E320" s="4">
        <v>209</v>
      </c>
      <c r="F320" s="4">
        <f>ROUND(Source!W296,O320)</f>
        <v>0</v>
      </c>
      <c r="G320" s="4" t="s">
        <v>110</v>
      </c>
      <c r="H320" s="4" t="s">
        <v>111</v>
      </c>
      <c r="I320" s="4"/>
      <c r="J320" s="4"/>
      <c r="K320" s="4">
        <v>209</v>
      </c>
      <c r="L320" s="4">
        <v>23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233</v>
      </c>
      <c r="F321" s="4">
        <f>ROUND(Source!BD296,O321)</f>
        <v>223.74</v>
      </c>
      <c r="G321" s="4" t="s">
        <v>112</v>
      </c>
      <c r="H321" s="4" t="s">
        <v>113</v>
      </c>
      <c r="I321" s="4"/>
      <c r="J321" s="4"/>
      <c r="K321" s="4">
        <v>233</v>
      </c>
      <c r="L321" s="4">
        <v>24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210</v>
      </c>
      <c r="F322" s="4">
        <f>ROUND(Source!X296,O322)</f>
        <v>580.42999999999995</v>
      </c>
      <c r="G322" s="4" t="s">
        <v>114</v>
      </c>
      <c r="H322" s="4" t="s">
        <v>115</v>
      </c>
      <c r="I322" s="4"/>
      <c r="J322" s="4"/>
      <c r="K322" s="4">
        <v>210</v>
      </c>
      <c r="L322" s="4">
        <v>25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211</v>
      </c>
      <c r="F323" s="4">
        <f>ROUND(Source!Y296,O323)</f>
        <v>403.28</v>
      </c>
      <c r="G323" s="4" t="s">
        <v>116</v>
      </c>
      <c r="H323" s="4" t="s">
        <v>117</v>
      </c>
      <c r="I323" s="4"/>
      <c r="J323" s="4"/>
      <c r="K323" s="4">
        <v>211</v>
      </c>
      <c r="L323" s="4">
        <v>26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224</v>
      </c>
      <c r="F324" s="4">
        <f>ROUND(Source!AR296,O324)</f>
        <v>10976.06</v>
      </c>
      <c r="G324" s="4" t="s">
        <v>118</v>
      </c>
      <c r="H324" s="4" t="s">
        <v>119</v>
      </c>
      <c r="I324" s="4"/>
      <c r="J324" s="4"/>
      <c r="K324" s="4">
        <v>224</v>
      </c>
      <c r="L324" s="4">
        <v>27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/>
    </row>
    <row r="326" spans="1:206" x14ac:dyDescent="0.2">
      <c r="A326" s="2">
        <v>51</v>
      </c>
      <c r="B326" s="2">
        <f>B24</f>
        <v>1</v>
      </c>
      <c r="C326" s="2">
        <f>A24</f>
        <v>4</v>
      </c>
      <c r="D326" s="2">
        <f>ROW(A24)</f>
        <v>24</v>
      </c>
      <c r="E326" s="2"/>
      <c r="F326" s="2" t="str">
        <f>IF(F24&lt;&gt;"",F24,"")</f>
        <v>Новый раздел</v>
      </c>
      <c r="G326" s="2" t="str">
        <f>IF(G24&lt;&gt;"",G24,"")</f>
        <v>1.  ул. Октябрьской революции 4</v>
      </c>
      <c r="H326" s="2">
        <v>0</v>
      </c>
      <c r="I326" s="2"/>
      <c r="J326" s="2"/>
      <c r="K326" s="2"/>
      <c r="L326" s="2"/>
      <c r="M326" s="2"/>
      <c r="N326" s="2"/>
      <c r="O326" s="2">
        <f t="shared" ref="O326:T326" si="224">ROUND(O40+O74+O124+O167+O206+O245+O296+AB326,2)</f>
        <v>189547.57</v>
      </c>
      <c r="P326" s="2">
        <f t="shared" si="224"/>
        <v>161408.45000000001</v>
      </c>
      <c r="Q326" s="2">
        <f t="shared" si="224"/>
        <v>23024.38</v>
      </c>
      <c r="R326" s="2">
        <f t="shared" si="224"/>
        <v>1588.54</v>
      </c>
      <c r="S326" s="2">
        <f t="shared" si="224"/>
        <v>5114.74</v>
      </c>
      <c r="T326" s="2">
        <f t="shared" si="224"/>
        <v>0</v>
      </c>
      <c r="U326" s="2">
        <f>U40+U74+U124+U167+U206+U245+U296+AH326</f>
        <v>731.61551144999999</v>
      </c>
      <c r="V326" s="2">
        <f>V40+V74+V124+V167+V206+V245+V296+AI326</f>
        <v>128.76012399999999</v>
      </c>
      <c r="W326" s="2">
        <f>ROUND(W40+W74+W124+W167+W206+W245+W296+AJ326,2)</f>
        <v>0</v>
      </c>
      <c r="X326" s="2">
        <f>ROUND(X40+X74+X124+X167+X206+X245+X296+AK326,2)</f>
        <v>8371.42</v>
      </c>
      <c r="Y326" s="2">
        <f>ROUND(Y40+Y74+Y124+Y167+Y206+Y245+Y296+AL326,2)</f>
        <v>4824.72</v>
      </c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>
        <f t="shared" ref="AO326:BD326" si="225">ROUND(AO40+AO74+AO124+AO167+AO206+AO245+AO296+BX326,2)</f>
        <v>0</v>
      </c>
      <c r="AP326" s="2">
        <f t="shared" si="225"/>
        <v>0</v>
      </c>
      <c r="AQ326" s="2">
        <f t="shared" si="225"/>
        <v>0</v>
      </c>
      <c r="AR326" s="2">
        <f t="shared" si="225"/>
        <v>202743.71</v>
      </c>
      <c r="AS326" s="2">
        <f t="shared" si="225"/>
        <v>202743.71</v>
      </c>
      <c r="AT326" s="2">
        <f t="shared" si="225"/>
        <v>0</v>
      </c>
      <c r="AU326" s="2">
        <f t="shared" si="225"/>
        <v>0</v>
      </c>
      <c r="AV326" s="2">
        <f t="shared" si="225"/>
        <v>161408.45000000001</v>
      </c>
      <c r="AW326" s="2">
        <f t="shared" si="225"/>
        <v>161408.45000000001</v>
      </c>
      <c r="AX326" s="2">
        <f t="shared" si="225"/>
        <v>0</v>
      </c>
      <c r="AY326" s="2">
        <f t="shared" si="225"/>
        <v>161408.45000000001</v>
      </c>
      <c r="AZ326" s="2">
        <f t="shared" si="225"/>
        <v>0</v>
      </c>
      <c r="BA326" s="2">
        <f t="shared" si="225"/>
        <v>0</v>
      </c>
      <c r="BB326" s="2">
        <f t="shared" si="225"/>
        <v>0</v>
      </c>
      <c r="BC326" s="2">
        <f t="shared" si="225"/>
        <v>0</v>
      </c>
      <c r="BD326" s="2">
        <f t="shared" si="225"/>
        <v>2489.41</v>
      </c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  <c r="EU326" s="3"/>
      <c r="EV326" s="3"/>
      <c r="EW326" s="3"/>
      <c r="EX326" s="3"/>
      <c r="EY326" s="3"/>
      <c r="EZ326" s="3"/>
      <c r="FA326" s="3"/>
      <c r="FB326" s="3"/>
      <c r="FC326" s="3"/>
      <c r="FD326" s="3"/>
      <c r="FE326" s="3"/>
      <c r="FF326" s="3"/>
      <c r="FG326" s="3"/>
      <c r="FH326" s="3"/>
      <c r="FI326" s="3"/>
      <c r="FJ326" s="3"/>
      <c r="FK326" s="3"/>
      <c r="FL326" s="3"/>
      <c r="FM326" s="3"/>
      <c r="FN326" s="3"/>
      <c r="FO326" s="3"/>
      <c r="FP326" s="3"/>
      <c r="FQ326" s="3"/>
      <c r="FR326" s="3"/>
      <c r="FS326" s="3"/>
      <c r="FT326" s="3"/>
      <c r="FU326" s="3"/>
      <c r="FV326" s="3"/>
      <c r="FW326" s="3"/>
      <c r="FX326" s="3"/>
      <c r="FY326" s="3"/>
      <c r="FZ326" s="3"/>
      <c r="GA326" s="3"/>
      <c r="GB326" s="3"/>
      <c r="GC326" s="3"/>
      <c r="GD326" s="3"/>
      <c r="GE326" s="3"/>
      <c r="GF326" s="3"/>
      <c r="GG326" s="3"/>
      <c r="GH326" s="3"/>
      <c r="GI326" s="3"/>
      <c r="GJ326" s="3"/>
      <c r="GK326" s="3"/>
      <c r="GL326" s="3"/>
      <c r="GM326" s="3"/>
      <c r="GN326" s="3"/>
      <c r="GO326" s="3"/>
      <c r="GP326" s="3"/>
      <c r="GQ326" s="3"/>
      <c r="GR326" s="3"/>
      <c r="GS326" s="3"/>
      <c r="GT326" s="3"/>
      <c r="GU326" s="3"/>
      <c r="GV326" s="3"/>
      <c r="GW326" s="3"/>
      <c r="GX326" s="3">
        <v>0</v>
      </c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0</v>
      </c>
      <c r="F328" s="4">
        <f>ROUND(Source!O326,O328)</f>
        <v>189547.57</v>
      </c>
      <c r="G328" s="4" t="s">
        <v>66</v>
      </c>
      <c r="H328" s="4" t="s">
        <v>67</v>
      </c>
      <c r="I328" s="4"/>
      <c r="J328" s="4"/>
      <c r="K328" s="4">
        <v>201</v>
      </c>
      <c r="L328" s="4">
        <v>1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202</v>
      </c>
      <c r="F329" s="4">
        <f>ROUND(Source!P326,O329)</f>
        <v>161408.45000000001</v>
      </c>
      <c r="G329" s="4" t="s">
        <v>68</v>
      </c>
      <c r="H329" s="4" t="s">
        <v>69</v>
      </c>
      <c r="I329" s="4"/>
      <c r="J329" s="4"/>
      <c r="K329" s="4">
        <v>202</v>
      </c>
      <c r="L329" s="4">
        <v>2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/>
    </row>
    <row r="330" spans="1:206" x14ac:dyDescent="0.2">
      <c r="A330" s="4">
        <v>50</v>
      </c>
      <c r="B330" s="4">
        <v>0</v>
      </c>
      <c r="C330" s="4">
        <v>0</v>
      </c>
      <c r="D330" s="4">
        <v>1</v>
      </c>
      <c r="E330" s="4">
        <v>222</v>
      </c>
      <c r="F330" s="4">
        <f>ROUND(Source!AO326,O330)</f>
        <v>0</v>
      </c>
      <c r="G330" s="4" t="s">
        <v>70</v>
      </c>
      <c r="H330" s="4" t="s">
        <v>71</v>
      </c>
      <c r="I330" s="4"/>
      <c r="J330" s="4"/>
      <c r="K330" s="4">
        <v>222</v>
      </c>
      <c r="L330" s="4">
        <v>3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/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225</v>
      </c>
      <c r="F331" s="4">
        <f>ROUND(Source!AV326,O331)</f>
        <v>161408.45000000001</v>
      </c>
      <c r="G331" s="4" t="s">
        <v>72</v>
      </c>
      <c r="H331" s="4" t="s">
        <v>73</v>
      </c>
      <c r="I331" s="4"/>
      <c r="J331" s="4"/>
      <c r="K331" s="4">
        <v>225</v>
      </c>
      <c r="L331" s="4">
        <v>4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/>
    </row>
    <row r="332" spans="1:206" x14ac:dyDescent="0.2">
      <c r="A332" s="4">
        <v>50</v>
      </c>
      <c r="B332" s="4">
        <v>0</v>
      </c>
      <c r="C332" s="4">
        <v>0</v>
      </c>
      <c r="D332" s="4">
        <v>1</v>
      </c>
      <c r="E332" s="4">
        <v>226</v>
      </c>
      <c r="F332" s="4">
        <f>ROUND(Source!AW326,O332)</f>
        <v>161408.45000000001</v>
      </c>
      <c r="G332" s="4" t="s">
        <v>74</v>
      </c>
      <c r="H332" s="4" t="s">
        <v>75</v>
      </c>
      <c r="I332" s="4"/>
      <c r="J332" s="4"/>
      <c r="K332" s="4">
        <v>226</v>
      </c>
      <c r="L332" s="4">
        <v>5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/>
    </row>
    <row r="333" spans="1:206" x14ac:dyDescent="0.2">
      <c r="A333" s="4">
        <v>50</v>
      </c>
      <c r="B333" s="4">
        <v>0</v>
      </c>
      <c r="C333" s="4">
        <v>0</v>
      </c>
      <c r="D333" s="4">
        <v>1</v>
      </c>
      <c r="E333" s="4">
        <v>227</v>
      </c>
      <c r="F333" s="4">
        <f>ROUND(Source!AX326,O333)</f>
        <v>0</v>
      </c>
      <c r="G333" s="4" t="s">
        <v>76</v>
      </c>
      <c r="H333" s="4" t="s">
        <v>77</v>
      </c>
      <c r="I333" s="4"/>
      <c r="J333" s="4"/>
      <c r="K333" s="4">
        <v>227</v>
      </c>
      <c r="L333" s="4">
        <v>6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/>
    </row>
    <row r="334" spans="1:206" x14ac:dyDescent="0.2">
      <c r="A334" s="4">
        <v>50</v>
      </c>
      <c r="B334" s="4">
        <v>0</v>
      </c>
      <c r="C334" s="4">
        <v>0</v>
      </c>
      <c r="D334" s="4">
        <v>1</v>
      </c>
      <c r="E334" s="4">
        <v>228</v>
      </c>
      <c r="F334" s="4">
        <f>ROUND(Source!AY326,O334)</f>
        <v>161408.45000000001</v>
      </c>
      <c r="G334" s="4" t="s">
        <v>78</v>
      </c>
      <c r="H334" s="4" t="s">
        <v>79</v>
      </c>
      <c r="I334" s="4"/>
      <c r="J334" s="4"/>
      <c r="K334" s="4">
        <v>228</v>
      </c>
      <c r="L334" s="4">
        <v>7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/>
    </row>
    <row r="335" spans="1:206" x14ac:dyDescent="0.2">
      <c r="A335" s="4">
        <v>50</v>
      </c>
      <c r="B335" s="4">
        <v>0</v>
      </c>
      <c r="C335" s="4">
        <v>0</v>
      </c>
      <c r="D335" s="4">
        <v>1</v>
      </c>
      <c r="E335" s="4">
        <v>216</v>
      </c>
      <c r="F335" s="4">
        <f>ROUND(Source!AP326,O335)</f>
        <v>0</v>
      </c>
      <c r="G335" s="4" t="s">
        <v>80</v>
      </c>
      <c r="H335" s="4" t="s">
        <v>81</v>
      </c>
      <c r="I335" s="4"/>
      <c r="J335" s="4"/>
      <c r="K335" s="4">
        <v>216</v>
      </c>
      <c r="L335" s="4">
        <v>8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/>
    </row>
    <row r="336" spans="1:206" x14ac:dyDescent="0.2">
      <c r="A336" s="4">
        <v>50</v>
      </c>
      <c r="B336" s="4">
        <v>0</v>
      </c>
      <c r="C336" s="4">
        <v>0</v>
      </c>
      <c r="D336" s="4">
        <v>1</v>
      </c>
      <c r="E336" s="4">
        <v>223</v>
      </c>
      <c r="F336" s="4">
        <f>ROUND(Source!AQ326,O336)</f>
        <v>0</v>
      </c>
      <c r="G336" s="4" t="s">
        <v>82</v>
      </c>
      <c r="H336" s="4" t="s">
        <v>83</v>
      </c>
      <c r="I336" s="4"/>
      <c r="J336" s="4"/>
      <c r="K336" s="4">
        <v>223</v>
      </c>
      <c r="L336" s="4">
        <v>9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/>
    </row>
    <row r="337" spans="1:23" x14ac:dyDescent="0.2">
      <c r="A337" s="4">
        <v>50</v>
      </c>
      <c r="B337" s="4">
        <v>0</v>
      </c>
      <c r="C337" s="4">
        <v>0</v>
      </c>
      <c r="D337" s="4">
        <v>1</v>
      </c>
      <c r="E337" s="4">
        <v>229</v>
      </c>
      <c r="F337" s="4">
        <f>ROUND(Source!AZ326,O337)</f>
        <v>0</v>
      </c>
      <c r="G337" s="4" t="s">
        <v>84</v>
      </c>
      <c r="H337" s="4" t="s">
        <v>85</v>
      </c>
      <c r="I337" s="4"/>
      <c r="J337" s="4"/>
      <c r="K337" s="4">
        <v>229</v>
      </c>
      <c r="L337" s="4">
        <v>10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/>
    </row>
    <row r="338" spans="1:23" x14ac:dyDescent="0.2">
      <c r="A338" s="4">
        <v>50</v>
      </c>
      <c r="B338" s="4">
        <v>0</v>
      </c>
      <c r="C338" s="4">
        <v>0</v>
      </c>
      <c r="D338" s="4">
        <v>1</v>
      </c>
      <c r="E338" s="4">
        <v>203</v>
      </c>
      <c r="F338" s="4">
        <f>ROUND(Source!Q326,O338)</f>
        <v>23024.38</v>
      </c>
      <c r="G338" s="4" t="s">
        <v>86</v>
      </c>
      <c r="H338" s="4" t="s">
        <v>87</v>
      </c>
      <c r="I338" s="4"/>
      <c r="J338" s="4"/>
      <c r="K338" s="4">
        <v>203</v>
      </c>
      <c r="L338" s="4">
        <v>11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/>
    </row>
    <row r="339" spans="1:23" x14ac:dyDescent="0.2">
      <c r="A339" s="4">
        <v>50</v>
      </c>
      <c r="B339" s="4">
        <v>0</v>
      </c>
      <c r="C339" s="4">
        <v>0</v>
      </c>
      <c r="D339" s="4">
        <v>1</v>
      </c>
      <c r="E339" s="4">
        <v>231</v>
      </c>
      <c r="F339" s="4">
        <f>ROUND(Source!BB326,O339)</f>
        <v>0</v>
      </c>
      <c r="G339" s="4" t="s">
        <v>88</v>
      </c>
      <c r="H339" s="4" t="s">
        <v>89</v>
      </c>
      <c r="I339" s="4"/>
      <c r="J339" s="4"/>
      <c r="K339" s="4">
        <v>231</v>
      </c>
      <c r="L339" s="4">
        <v>12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/>
    </row>
    <row r="340" spans="1:23" x14ac:dyDescent="0.2">
      <c r="A340" s="4">
        <v>50</v>
      </c>
      <c r="B340" s="4">
        <v>0</v>
      </c>
      <c r="C340" s="4">
        <v>0</v>
      </c>
      <c r="D340" s="4">
        <v>1</v>
      </c>
      <c r="E340" s="4">
        <v>204</v>
      </c>
      <c r="F340" s="4">
        <f>ROUND(Source!R326,O340)</f>
        <v>1588.54</v>
      </c>
      <c r="G340" s="4" t="s">
        <v>90</v>
      </c>
      <c r="H340" s="4" t="s">
        <v>91</v>
      </c>
      <c r="I340" s="4"/>
      <c r="J340" s="4"/>
      <c r="K340" s="4">
        <v>204</v>
      </c>
      <c r="L340" s="4">
        <v>13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/>
    </row>
    <row r="341" spans="1:23" x14ac:dyDescent="0.2">
      <c r="A341" s="4">
        <v>50</v>
      </c>
      <c r="B341" s="4">
        <v>0</v>
      </c>
      <c r="C341" s="4">
        <v>0</v>
      </c>
      <c r="D341" s="4">
        <v>1</v>
      </c>
      <c r="E341" s="4">
        <v>205</v>
      </c>
      <c r="F341" s="4">
        <f>ROUND(Source!S326,O341)</f>
        <v>5114.74</v>
      </c>
      <c r="G341" s="4" t="s">
        <v>92</v>
      </c>
      <c r="H341" s="4" t="s">
        <v>93</v>
      </c>
      <c r="I341" s="4"/>
      <c r="J341" s="4"/>
      <c r="K341" s="4">
        <v>205</v>
      </c>
      <c r="L341" s="4">
        <v>14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/>
    </row>
    <row r="342" spans="1:23" x14ac:dyDescent="0.2">
      <c r="A342" s="4">
        <v>50</v>
      </c>
      <c r="B342" s="4">
        <v>0</v>
      </c>
      <c r="C342" s="4">
        <v>0</v>
      </c>
      <c r="D342" s="4">
        <v>1</v>
      </c>
      <c r="E342" s="4">
        <v>232</v>
      </c>
      <c r="F342" s="4">
        <f>ROUND(Source!BC326,O342)</f>
        <v>0</v>
      </c>
      <c r="G342" s="4" t="s">
        <v>94</v>
      </c>
      <c r="H342" s="4" t="s">
        <v>95</v>
      </c>
      <c r="I342" s="4"/>
      <c r="J342" s="4"/>
      <c r="K342" s="4">
        <v>232</v>
      </c>
      <c r="L342" s="4">
        <v>15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/>
    </row>
    <row r="343" spans="1:23" x14ac:dyDescent="0.2">
      <c r="A343" s="4">
        <v>50</v>
      </c>
      <c r="B343" s="4">
        <v>0</v>
      </c>
      <c r="C343" s="4">
        <v>0</v>
      </c>
      <c r="D343" s="4">
        <v>1</v>
      </c>
      <c r="E343" s="4">
        <v>214</v>
      </c>
      <c r="F343" s="4">
        <f>ROUND(Source!AS326,O343)</f>
        <v>202743.71</v>
      </c>
      <c r="G343" s="4" t="s">
        <v>96</v>
      </c>
      <c r="H343" s="4" t="s">
        <v>97</v>
      </c>
      <c r="I343" s="4"/>
      <c r="J343" s="4"/>
      <c r="K343" s="4">
        <v>214</v>
      </c>
      <c r="L343" s="4">
        <v>16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/>
    </row>
    <row r="344" spans="1:23" x14ac:dyDescent="0.2">
      <c r="A344" s="4">
        <v>50</v>
      </c>
      <c r="B344" s="4">
        <v>0</v>
      </c>
      <c r="C344" s="4">
        <v>0</v>
      </c>
      <c r="D344" s="4">
        <v>1</v>
      </c>
      <c r="E344" s="4">
        <v>215</v>
      </c>
      <c r="F344" s="4">
        <f>ROUND(Source!AT326,O344)</f>
        <v>0</v>
      </c>
      <c r="G344" s="4" t="s">
        <v>98</v>
      </c>
      <c r="H344" s="4" t="s">
        <v>99</v>
      </c>
      <c r="I344" s="4"/>
      <c r="J344" s="4"/>
      <c r="K344" s="4">
        <v>215</v>
      </c>
      <c r="L344" s="4">
        <v>17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/>
    </row>
    <row r="345" spans="1:23" x14ac:dyDescent="0.2">
      <c r="A345" s="4">
        <v>50</v>
      </c>
      <c r="B345" s="4">
        <v>0</v>
      </c>
      <c r="C345" s="4">
        <v>0</v>
      </c>
      <c r="D345" s="4">
        <v>1</v>
      </c>
      <c r="E345" s="4">
        <v>217</v>
      </c>
      <c r="F345" s="4">
        <f>ROUND(Source!AU326,O345)</f>
        <v>0</v>
      </c>
      <c r="G345" s="4" t="s">
        <v>100</v>
      </c>
      <c r="H345" s="4" t="s">
        <v>101</v>
      </c>
      <c r="I345" s="4"/>
      <c r="J345" s="4"/>
      <c r="K345" s="4">
        <v>217</v>
      </c>
      <c r="L345" s="4">
        <v>18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/>
    </row>
    <row r="346" spans="1:23" x14ac:dyDescent="0.2">
      <c r="A346" s="4">
        <v>50</v>
      </c>
      <c r="B346" s="4">
        <v>0</v>
      </c>
      <c r="C346" s="4">
        <v>0</v>
      </c>
      <c r="D346" s="4">
        <v>1</v>
      </c>
      <c r="E346" s="4">
        <v>230</v>
      </c>
      <c r="F346" s="4">
        <f>ROUND(Source!BA326,O346)</f>
        <v>0</v>
      </c>
      <c r="G346" s="4" t="s">
        <v>102</v>
      </c>
      <c r="H346" s="4" t="s">
        <v>103</v>
      </c>
      <c r="I346" s="4"/>
      <c r="J346" s="4"/>
      <c r="K346" s="4">
        <v>230</v>
      </c>
      <c r="L346" s="4">
        <v>19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/>
    </row>
    <row r="347" spans="1:23" x14ac:dyDescent="0.2">
      <c r="A347" s="4">
        <v>50</v>
      </c>
      <c r="B347" s="4">
        <v>0</v>
      </c>
      <c r="C347" s="4">
        <v>0</v>
      </c>
      <c r="D347" s="4">
        <v>1</v>
      </c>
      <c r="E347" s="4">
        <v>206</v>
      </c>
      <c r="F347" s="4">
        <f>ROUND(Source!T326,O347)</f>
        <v>0</v>
      </c>
      <c r="G347" s="4" t="s">
        <v>104</v>
      </c>
      <c r="H347" s="4" t="s">
        <v>105</v>
      </c>
      <c r="I347" s="4"/>
      <c r="J347" s="4"/>
      <c r="K347" s="4">
        <v>206</v>
      </c>
      <c r="L347" s="4">
        <v>20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/>
    </row>
    <row r="348" spans="1:23" x14ac:dyDescent="0.2">
      <c r="A348" s="4">
        <v>50</v>
      </c>
      <c r="B348" s="4">
        <v>0</v>
      </c>
      <c r="C348" s="4">
        <v>0</v>
      </c>
      <c r="D348" s="4">
        <v>1</v>
      </c>
      <c r="E348" s="4">
        <v>207</v>
      </c>
      <c r="F348" s="4">
        <f>Source!U326</f>
        <v>731.61551144999999</v>
      </c>
      <c r="G348" s="4" t="s">
        <v>106</v>
      </c>
      <c r="H348" s="4" t="s">
        <v>107</v>
      </c>
      <c r="I348" s="4"/>
      <c r="J348" s="4"/>
      <c r="K348" s="4">
        <v>207</v>
      </c>
      <c r="L348" s="4">
        <v>21</v>
      </c>
      <c r="M348" s="4">
        <v>3</v>
      </c>
      <c r="N348" s="4" t="s">
        <v>3</v>
      </c>
      <c r="O348" s="4">
        <v>-1</v>
      </c>
      <c r="P348" s="4"/>
      <c r="Q348" s="4"/>
      <c r="R348" s="4"/>
      <c r="S348" s="4"/>
      <c r="T348" s="4"/>
      <c r="U348" s="4"/>
      <c r="V348" s="4"/>
      <c r="W348" s="4"/>
    </row>
    <row r="349" spans="1:23" x14ac:dyDescent="0.2">
      <c r="A349" s="4">
        <v>50</v>
      </c>
      <c r="B349" s="4">
        <v>0</v>
      </c>
      <c r="C349" s="4">
        <v>0</v>
      </c>
      <c r="D349" s="4">
        <v>1</v>
      </c>
      <c r="E349" s="4">
        <v>208</v>
      </c>
      <c r="F349" s="4">
        <f>Source!V326</f>
        <v>128.76012399999999</v>
      </c>
      <c r="G349" s="4" t="s">
        <v>108</v>
      </c>
      <c r="H349" s="4" t="s">
        <v>109</v>
      </c>
      <c r="I349" s="4"/>
      <c r="J349" s="4"/>
      <c r="K349" s="4">
        <v>208</v>
      </c>
      <c r="L349" s="4">
        <v>22</v>
      </c>
      <c r="M349" s="4">
        <v>3</v>
      </c>
      <c r="N349" s="4" t="s">
        <v>3</v>
      </c>
      <c r="O349" s="4">
        <v>-1</v>
      </c>
      <c r="P349" s="4"/>
      <c r="Q349" s="4"/>
      <c r="R349" s="4"/>
      <c r="S349" s="4"/>
      <c r="T349" s="4"/>
      <c r="U349" s="4"/>
      <c r="V349" s="4"/>
      <c r="W349" s="4"/>
    </row>
    <row r="350" spans="1:23" x14ac:dyDescent="0.2">
      <c r="A350" s="4">
        <v>50</v>
      </c>
      <c r="B350" s="4">
        <v>0</v>
      </c>
      <c r="C350" s="4">
        <v>0</v>
      </c>
      <c r="D350" s="4">
        <v>1</v>
      </c>
      <c r="E350" s="4">
        <v>209</v>
      </c>
      <c r="F350" s="4">
        <f>ROUND(Source!W326,O350)</f>
        <v>0</v>
      </c>
      <c r="G350" s="4" t="s">
        <v>110</v>
      </c>
      <c r="H350" s="4" t="s">
        <v>111</v>
      </c>
      <c r="I350" s="4"/>
      <c r="J350" s="4"/>
      <c r="K350" s="4">
        <v>209</v>
      </c>
      <c r="L350" s="4">
        <v>23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/>
    </row>
    <row r="351" spans="1:23" x14ac:dyDescent="0.2">
      <c r="A351" s="4">
        <v>50</v>
      </c>
      <c r="B351" s="4">
        <v>0</v>
      </c>
      <c r="C351" s="4">
        <v>0</v>
      </c>
      <c r="D351" s="4">
        <v>1</v>
      </c>
      <c r="E351" s="4">
        <v>233</v>
      </c>
      <c r="F351" s="4">
        <f>ROUND(Source!BD326,O351)</f>
        <v>2489.41</v>
      </c>
      <c r="G351" s="4" t="s">
        <v>112</v>
      </c>
      <c r="H351" s="4" t="s">
        <v>113</v>
      </c>
      <c r="I351" s="4"/>
      <c r="J351" s="4"/>
      <c r="K351" s="4">
        <v>233</v>
      </c>
      <c r="L351" s="4">
        <v>24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/>
    </row>
    <row r="352" spans="1:23" x14ac:dyDescent="0.2">
      <c r="A352" s="4">
        <v>50</v>
      </c>
      <c r="B352" s="4">
        <v>0</v>
      </c>
      <c r="C352" s="4">
        <v>0</v>
      </c>
      <c r="D352" s="4">
        <v>1</v>
      </c>
      <c r="E352" s="4">
        <v>0</v>
      </c>
      <c r="F352" s="4">
        <f>ROUND(Source!X326,O352)</f>
        <v>8371.42</v>
      </c>
      <c r="G352" s="4" t="s">
        <v>114</v>
      </c>
      <c r="H352" s="4" t="s">
        <v>115</v>
      </c>
      <c r="I352" s="4"/>
      <c r="J352" s="4"/>
      <c r="K352" s="4">
        <v>210</v>
      </c>
      <c r="L352" s="4">
        <v>25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/>
    </row>
    <row r="353" spans="1:206" x14ac:dyDescent="0.2">
      <c r="A353" s="4">
        <v>50</v>
      </c>
      <c r="B353" s="4">
        <v>0</v>
      </c>
      <c r="C353" s="4">
        <v>0</v>
      </c>
      <c r="D353" s="4">
        <v>1</v>
      </c>
      <c r="E353" s="4">
        <v>0</v>
      </c>
      <c r="F353" s="4">
        <f>ROUND(Source!Y326,O353)</f>
        <v>4824.72</v>
      </c>
      <c r="G353" s="4" t="s">
        <v>116</v>
      </c>
      <c r="H353" s="4" t="s">
        <v>117</v>
      </c>
      <c r="I353" s="4"/>
      <c r="J353" s="4"/>
      <c r="K353" s="4">
        <v>211</v>
      </c>
      <c r="L353" s="4">
        <v>26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/>
    </row>
    <row r="354" spans="1:206" x14ac:dyDescent="0.2">
      <c r="A354" s="4">
        <v>50</v>
      </c>
      <c r="B354" s="4">
        <v>0</v>
      </c>
      <c r="C354" s="4">
        <v>0</v>
      </c>
      <c r="D354" s="4">
        <v>1</v>
      </c>
      <c r="E354" s="4">
        <v>224</v>
      </c>
      <c r="F354" s="4">
        <f>ROUND(Source!AR326,O354)</f>
        <v>202743.71</v>
      </c>
      <c r="G354" s="4" t="s">
        <v>118</v>
      </c>
      <c r="H354" s="4" t="s">
        <v>119</v>
      </c>
      <c r="I354" s="4"/>
      <c r="J354" s="4"/>
      <c r="K354" s="4">
        <v>224</v>
      </c>
      <c r="L354" s="4">
        <v>27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/>
    </row>
    <row r="355" spans="1:206" x14ac:dyDescent="0.2">
      <c r="A355" s="4">
        <v>50</v>
      </c>
      <c r="B355" s="4">
        <v>1</v>
      </c>
      <c r="C355" s="4">
        <v>0</v>
      </c>
      <c r="D355" s="4">
        <v>2</v>
      </c>
      <c r="E355" s="4">
        <v>201</v>
      </c>
      <c r="F355" s="4">
        <f>ROUND(F328,O355)</f>
        <v>189547.57</v>
      </c>
      <c r="G355" s="4" t="s">
        <v>301</v>
      </c>
      <c r="H355" s="4" t="s">
        <v>302</v>
      </c>
      <c r="I355" s="4"/>
      <c r="J355" s="4"/>
      <c r="K355" s="4">
        <v>212</v>
      </c>
      <c r="L355" s="4">
        <v>28</v>
      </c>
      <c r="M355" s="4">
        <v>0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/>
    </row>
    <row r="356" spans="1:206" x14ac:dyDescent="0.2">
      <c r="A356" s="4">
        <v>50</v>
      </c>
      <c r="B356" s="4">
        <v>1</v>
      </c>
      <c r="C356" s="4">
        <v>0</v>
      </c>
      <c r="D356" s="4">
        <v>2</v>
      </c>
      <c r="E356" s="4">
        <v>210</v>
      </c>
      <c r="F356" s="4">
        <f>ROUND(F352,O356)</f>
        <v>8371.42</v>
      </c>
      <c r="G356" s="4" t="s">
        <v>303</v>
      </c>
      <c r="H356" s="4" t="s">
        <v>115</v>
      </c>
      <c r="I356" s="4"/>
      <c r="J356" s="4"/>
      <c r="K356" s="4">
        <v>212</v>
      </c>
      <c r="L356" s="4">
        <v>29</v>
      </c>
      <c r="M356" s="4">
        <v>0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/>
    </row>
    <row r="357" spans="1:206" x14ac:dyDescent="0.2">
      <c r="A357" s="4">
        <v>50</v>
      </c>
      <c r="B357" s="4">
        <v>1</v>
      </c>
      <c r="C357" s="4">
        <v>0</v>
      </c>
      <c r="D357" s="4">
        <v>2</v>
      </c>
      <c r="E357" s="4">
        <v>211</v>
      </c>
      <c r="F357" s="4">
        <f>ROUND(F353,O357)</f>
        <v>4824.72</v>
      </c>
      <c r="G357" s="4" t="s">
        <v>304</v>
      </c>
      <c r="H357" s="4" t="s">
        <v>117</v>
      </c>
      <c r="I357" s="4"/>
      <c r="J357" s="4"/>
      <c r="K357" s="4">
        <v>212</v>
      </c>
      <c r="L357" s="4">
        <v>30</v>
      </c>
      <c r="M357" s="4">
        <v>0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/>
    </row>
    <row r="358" spans="1:206" x14ac:dyDescent="0.2">
      <c r="A358" s="4">
        <v>50</v>
      </c>
      <c r="B358" s="4">
        <v>1</v>
      </c>
      <c r="C358" s="4">
        <v>0</v>
      </c>
      <c r="D358" s="4">
        <v>2</v>
      </c>
      <c r="E358" s="4">
        <v>0</v>
      </c>
      <c r="F358" s="4">
        <f>ROUND(F355+F356+F357,O358)</f>
        <v>202743.71</v>
      </c>
      <c r="G358" s="4" t="s">
        <v>305</v>
      </c>
      <c r="H358" s="4" t="s">
        <v>306</v>
      </c>
      <c r="I358" s="4"/>
      <c r="J358" s="4"/>
      <c r="K358" s="4">
        <v>212</v>
      </c>
      <c r="L358" s="4">
        <v>31</v>
      </c>
      <c r="M358" s="4">
        <v>0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/>
    </row>
    <row r="359" spans="1:206" x14ac:dyDescent="0.2">
      <c r="A359" s="4">
        <v>50</v>
      </c>
      <c r="B359" s="4">
        <v>1</v>
      </c>
      <c r="C359" s="4">
        <v>0</v>
      </c>
      <c r="D359" s="4">
        <v>2</v>
      </c>
      <c r="E359" s="4">
        <v>0</v>
      </c>
      <c r="F359" s="4">
        <f>ROUND(F358*7.51,O359)</f>
        <v>1522605.26</v>
      </c>
      <c r="G359" s="4" t="s">
        <v>307</v>
      </c>
      <c r="H359" s="4" t="s">
        <v>308</v>
      </c>
      <c r="I359" s="4"/>
      <c r="J359" s="4"/>
      <c r="K359" s="4">
        <v>212</v>
      </c>
      <c r="L359" s="4">
        <v>32</v>
      </c>
      <c r="M359" s="4">
        <v>0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/>
    </row>
    <row r="360" spans="1:206" x14ac:dyDescent="0.2">
      <c r="A360" s="4">
        <v>50</v>
      </c>
      <c r="B360" s="4">
        <v>1</v>
      </c>
      <c r="C360" s="4">
        <v>0</v>
      </c>
      <c r="D360" s="4">
        <v>2</v>
      </c>
      <c r="E360" s="4">
        <v>0</v>
      </c>
      <c r="F360" s="4">
        <f>ROUND(F359*0.2,O360)</f>
        <v>304521.05</v>
      </c>
      <c r="G360" s="4" t="s">
        <v>309</v>
      </c>
      <c r="H360" s="4" t="s">
        <v>310</v>
      </c>
      <c r="I360" s="4"/>
      <c r="J360" s="4"/>
      <c r="K360" s="4">
        <v>212</v>
      </c>
      <c r="L360" s="4">
        <v>33</v>
      </c>
      <c r="M360" s="4">
        <v>0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/>
    </row>
    <row r="361" spans="1:206" x14ac:dyDescent="0.2">
      <c r="A361" s="4">
        <v>50</v>
      </c>
      <c r="B361" s="4">
        <v>1</v>
      </c>
      <c r="C361" s="4">
        <v>0</v>
      </c>
      <c r="D361" s="4">
        <v>2</v>
      </c>
      <c r="E361" s="4">
        <v>0</v>
      </c>
      <c r="F361" s="4">
        <f>ROUND(F359+F360,O361)</f>
        <v>1827126.31</v>
      </c>
      <c r="G361" s="4" t="s">
        <v>311</v>
      </c>
      <c r="H361" s="4" t="s">
        <v>312</v>
      </c>
      <c r="I361" s="4"/>
      <c r="J361" s="4"/>
      <c r="K361" s="4">
        <v>212</v>
      </c>
      <c r="L361" s="4">
        <v>34</v>
      </c>
      <c r="M361" s="4">
        <v>0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/>
    </row>
    <row r="363" spans="1:206" x14ac:dyDescent="0.2">
      <c r="A363" s="2">
        <v>51</v>
      </c>
      <c r="B363" s="2">
        <f>B20</f>
        <v>1</v>
      </c>
      <c r="C363" s="2">
        <f>A20</f>
        <v>3</v>
      </c>
      <c r="D363" s="2">
        <f>ROW(A20)</f>
        <v>20</v>
      </c>
      <c r="E363" s="2"/>
      <c r="F363" s="2" t="str">
        <f>IF(F20&lt;&gt;"",F20,"")</f>
        <v>Новая локальная смета</v>
      </c>
      <c r="G363" s="2" t="str">
        <f>IF(G20&lt;&gt;"",G20,"")</f>
        <v>Новая локальная смета</v>
      </c>
      <c r="H363" s="2">
        <v>0</v>
      </c>
      <c r="I363" s="2"/>
      <c r="J363" s="2"/>
      <c r="K363" s="2"/>
      <c r="L363" s="2"/>
      <c r="M363" s="2"/>
      <c r="N363" s="2"/>
      <c r="O363" s="2">
        <f t="shared" ref="O363:T363" si="226">ROUND(O326+AB363,2)</f>
        <v>189547.57</v>
      </c>
      <c r="P363" s="2">
        <f t="shared" si="226"/>
        <v>161408.45000000001</v>
      </c>
      <c r="Q363" s="2">
        <f t="shared" si="226"/>
        <v>23024.38</v>
      </c>
      <c r="R363" s="2">
        <f t="shared" si="226"/>
        <v>1588.54</v>
      </c>
      <c r="S363" s="2">
        <f t="shared" si="226"/>
        <v>5114.74</v>
      </c>
      <c r="T363" s="2">
        <f t="shared" si="226"/>
        <v>0</v>
      </c>
      <c r="U363" s="2">
        <f>U326+AH363</f>
        <v>731.61551144999999</v>
      </c>
      <c r="V363" s="2">
        <f>V326+AI363</f>
        <v>128.76012399999999</v>
      </c>
      <c r="W363" s="2">
        <f>ROUND(W326+AJ363,2)</f>
        <v>0</v>
      </c>
      <c r="X363" s="2">
        <f>ROUND(X326+AK363,2)</f>
        <v>8371.42</v>
      </c>
      <c r="Y363" s="2">
        <f>ROUND(Y326+AL363,2)</f>
        <v>4824.72</v>
      </c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>
        <f t="shared" ref="AO363:BD363" si="227">ROUND(AO326+BX363,2)</f>
        <v>0</v>
      </c>
      <c r="AP363" s="2">
        <f t="shared" si="227"/>
        <v>0</v>
      </c>
      <c r="AQ363" s="2">
        <f t="shared" si="227"/>
        <v>0</v>
      </c>
      <c r="AR363" s="2">
        <f t="shared" si="227"/>
        <v>202743.71</v>
      </c>
      <c r="AS363" s="2">
        <f t="shared" si="227"/>
        <v>202743.71</v>
      </c>
      <c r="AT363" s="2">
        <f t="shared" si="227"/>
        <v>0</v>
      </c>
      <c r="AU363" s="2">
        <f t="shared" si="227"/>
        <v>0</v>
      </c>
      <c r="AV363" s="2">
        <f t="shared" si="227"/>
        <v>161408.45000000001</v>
      </c>
      <c r="AW363" s="2">
        <f t="shared" si="227"/>
        <v>161408.45000000001</v>
      </c>
      <c r="AX363" s="2">
        <f t="shared" si="227"/>
        <v>0</v>
      </c>
      <c r="AY363" s="2">
        <f t="shared" si="227"/>
        <v>161408.45000000001</v>
      </c>
      <c r="AZ363" s="2">
        <f t="shared" si="227"/>
        <v>0</v>
      </c>
      <c r="BA363" s="2">
        <f t="shared" si="227"/>
        <v>0</v>
      </c>
      <c r="BB363" s="2">
        <f t="shared" si="227"/>
        <v>0</v>
      </c>
      <c r="BC363" s="2">
        <f t="shared" si="227"/>
        <v>0</v>
      </c>
      <c r="BD363" s="2">
        <f t="shared" si="227"/>
        <v>2489.41</v>
      </c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>
        <v>0</v>
      </c>
    </row>
    <row r="365" spans="1:206" x14ac:dyDescent="0.2">
      <c r="A365" s="4">
        <v>50</v>
      </c>
      <c r="B365" s="4">
        <v>0</v>
      </c>
      <c r="C365" s="4">
        <v>0</v>
      </c>
      <c r="D365" s="4">
        <v>1</v>
      </c>
      <c r="E365" s="4">
        <v>201</v>
      </c>
      <c r="F365" s="4">
        <f>ROUND(Source!O363,O365)</f>
        <v>189547.57</v>
      </c>
      <c r="G365" s="4" t="s">
        <v>66</v>
      </c>
      <c r="H365" s="4" t="s">
        <v>67</v>
      </c>
      <c r="I365" s="4"/>
      <c r="J365" s="4"/>
      <c r="K365" s="4">
        <v>201</v>
      </c>
      <c r="L365" s="4">
        <v>1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/>
    </row>
    <row r="366" spans="1:206" x14ac:dyDescent="0.2">
      <c r="A366" s="4">
        <v>50</v>
      </c>
      <c r="B366" s="4">
        <v>0</v>
      </c>
      <c r="C366" s="4">
        <v>0</v>
      </c>
      <c r="D366" s="4">
        <v>1</v>
      </c>
      <c r="E366" s="4">
        <v>202</v>
      </c>
      <c r="F366" s="4">
        <f>ROUND(Source!P363,O366)</f>
        <v>161408.45000000001</v>
      </c>
      <c r="G366" s="4" t="s">
        <v>68</v>
      </c>
      <c r="H366" s="4" t="s">
        <v>69</v>
      </c>
      <c r="I366" s="4"/>
      <c r="J366" s="4"/>
      <c r="K366" s="4">
        <v>202</v>
      </c>
      <c r="L366" s="4">
        <v>2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/>
    </row>
    <row r="367" spans="1:206" x14ac:dyDescent="0.2">
      <c r="A367" s="4">
        <v>50</v>
      </c>
      <c r="B367" s="4">
        <v>0</v>
      </c>
      <c r="C367" s="4">
        <v>0</v>
      </c>
      <c r="D367" s="4">
        <v>1</v>
      </c>
      <c r="E367" s="4">
        <v>222</v>
      </c>
      <c r="F367" s="4">
        <f>ROUND(Source!AO363,O367)</f>
        <v>0</v>
      </c>
      <c r="G367" s="4" t="s">
        <v>70</v>
      </c>
      <c r="H367" s="4" t="s">
        <v>71</v>
      </c>
      <c r="I367" s="4"/>
      <c r="J367" s="4"/>
      <c r="K367" s="4">
        <v>222</v>
      </c>
      <c r="L367" s="4">
        <v>3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/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225</v>
      </c>
      <c r="F368" s="4">
        <f>ROUND(Source!AV363,O368)</f>
        <v>161408.45000000001</v>
      </c>
      <c r="G368" s="4" t="s">
        <v>72</v>
      </c>
      <c r="H368" s="4" t="s">
        <v>73</v>
      </c>
      <c r="I368" s="4"/>
      <c r="J368" s="4"/>
      <c r="K368" s="4">
        <v>225</v>
      </c>
      <c r="L368" s="4">
        <v>4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/>
    </row>
    <row r="369" spans="1:23" x14ac:dyDescent="0.2">
      <c r="A369" s="4">
        <v>50</v>
      </c>
      <c r="B369" s="4">
        <v>0</v>
      </c>
      <c r="C369" s="4">
        <v>0</v>
      </c>
      <c r="D369" s="4">
        <v>1</v>
      </c>
      <c r="E369" s="4">
        <v>226</v>
      </c>
      <c r="F369" s="4">
        <f>ROUND(Source!AW363,O369)</f>
        <v>161408.45000000001</v>
      </c>
      <c r="G369" s="4" t="s">
        <v>74</v>
      </c>
      <c r="H369" s="4" t="s">
        <v>75</v>
      </c>
      <c r="I369" s="4"/>
      <c r="J369" s="4"/>
      <c r="K369" s="4">
        <v>226</v>
      </c>
      <c r="L369" s="4">
        <v>5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/>
    </row>
    <row r="370" spans="1:23" x14ac:dyDescent="0.2">
      <c r="A370" s="4">
        <v>50</v>
      </c>
      <c r="B370" s="4">
        <v>0</v>
      </c>
      <c r="C370" s="4">
        <v>0</v>
      </c>
      <c r="D370" s="4">
        <v>1</v>
      </c>
      <c r="E370" s="4">
        <v>227</v>
      </c>
      <c r="F370" s="4">
        <f>ROUND(Source!AX363,O370)</f>
        <v>0</v>
      </c>
      <c r="G370" s="4" t="s">
        <v>76</v>
      </c>
      <c r="H370" s="4" t="s">
        <v>77</v>
      </c>
      <c r="I370" s="4"/>
      <c r="J370" s="4"/>
      <c r="K370" s="4">
        <v>227</v>
      </c>
      <c r="L370" s="4">
        <v>6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/>
    </row>
    <row r="371" spans="1:23" x14ac:dyDescent="0.2">
      <c r="A371" s="4">
        <v>50</v>
      </c>
      <c r="B371" s="4">
        <v>0</v>
      </c>
      <c r="C371" s="4">
        <v>0</v>
      </c>
      <c r="D371" s="4">
        <v>1</v>
      </c>
      <c r="E371" s="4">
        <v>228</v>
      </c>
      <c r="F371" s="4">
        <f>ROUND(Source!AY363,O371)</f>
        <v>161408.45000000001</v>
      </c>
      <c r="G371" s="4" t="s">
        <v>78</v>
      </c>
      <c r="H371" s="4" t="s">
        <v>79</v>
      </c>
      <c r="I371" s="4"/>
      <c r="J371" s="4"/>
      <c r="K371" s="4">
        <v>228</v>
      </c>
      <c r="L371" s="4">
        <v>7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/>
    </row>
    <row r="372" spans="1:23" x14ac:dyDescent="0.2">
      <c r="A372" s="4">
        <v>50</v>
      </c>
      <c r="B372" s="4">
        <v>0</v>
      </c>
      <c r="C372" s="4">
        <v>0</v>
      </c>
      <c r="D372" s="4">
        <v>1</v>
      </c>
      <c r="E372" s="4">
        <v>216</v>
      </c>
      <c r="F372" s="4">
        <f>ROUND(Source!AP363,O372)</f>
        <v>0</v>
      </c>
      <c r="G372" s="4" t="s">
        <v>80</v>
      </c>
      <c r="H372" s="4" t="s">
        <v>81</v>
      </c>
      <c r="I372" s="4"/>
      <c r="J372" s="4"/>
      <c r="K372" s="4">
        <v>216</v>
      </c>
      <c r="L372" s="4">
        <v>8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/>
    </row>
    <row r="373" spans="1:23" x14ac:dyDescent="0.2">
      <c r="A373" s="4">
        <v>50</v>
      </c>
      <c r="B373" s="4">
        <v>0</v>
      </c>
      <c r="C373" s="4">
        <v>0</v>
      </c>
      <c r="D373" s="4">
        <v>1</v>
      </c>
      <c r="E373" s="4">
        <v>223</v>
      </c>
      <c r="F373" s="4">
        <f>ROUND(Source!AQ363,O373)</f>
        <v>0</v>
      </c>
      <c r="G373" s="4" t="s">
        <v>82</v>
      </c>
      <c r="H373" s="4" t="s">
        <v>83</v>
      </c>
      <c r="I373" s="4"/>
      <c r="J373" s="4"/>
      <c r="K373" s="4">
        <v>223</v>
      </c>
      <c r="L373" s="4">
        <v>9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/>
    </row>
    <row r="374" spans="1:23" x14ac:dyDescent="0.2">
      <c r="A374" s="4">
        <v>50</v>
      </c>
      <c r="B374" s="4">
        <v>0</v>
      </c>
      <c r="C374" s="4">
        <v>0</v>
      </c>
      <c r="D374" s="4">
        <v>1</v>
      </c>
      <c r="E374" s="4">
        <v>229</v>
      </c>
      <c r="F374" s="4">
        <f>ROUND(Source!AZ363,O374)</f>
        <v>0</v>
      </c>
      <c r="G374" s="4" t="s">
        <v>84</v>
      </c>
      <c r="H374" s="4" t="s">
        <v>85</v>
      </c>
      <c r="I374" s="4"/>
      <c r="J374" s="4"/>
      <c r="K374" s="4">
        <v>229</v>
      </c>
      <c r="L374" s="4">
        <v>10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/>
    </row>
    <row r="375" spans="1:23" x14ac:dyDescent="0.2">
      <c r="A375" s="4">
        <v>50</v>
      </c>
      <c r="B375" s="4">
        <v>0</v>
      </c>
      <c r="C375" s="4">
        <v>0</v>
      </c>
      <c r="D375" s="4">
        <v>1</v>
      </c>
      <c r="E375" s="4">
        <v>203</v>
      </c>
      <c r="F375" s="4">
        <f>ROUND(Source!Q363,O375)</f>
        <v>23024.38</v>
      </c>
      <c r="G375" s="4" t="s">
        <v>86</v>
      </c>
      <c r="H375" s="4" t="s">
        <v>87</v>
      </c>
      <c r="I375" s="4"/>
      <c r="J375" s="4"/>
      <c r="K375" s="4">
        <v>203</v>
      </c>
      <c r="L375" s="4">
        <v>11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/>
    </row>
    <row r="376" spans="1:23" x14ac:dyDescent="0.2">
      <c r="A376" s="4">
        <v>50</v>
      </c>
      <c r="B376" s="4">
        <v>0</v>
      </c>
      <c r="C376" s="4">
        <v>0</v>
      </c>
      <c r="D376" s="4">
        <v>1</v>
      </c>
      <c r="E376" s="4">
        <v>231</v>
      </c>
      <c r="F376" s="4">
        <f>ROUND(Source!BB363,O376)</f>
        <v>0</v>
      </c>
      <c r="G376" s="4" t="s">
        <v>88</v>
      </c>
      <c r="H376" s="4" t="s">
        <v>89</v>
      </c>
      <c r="I376" s="4"/>
      <c r="J376" s="4"/>
      <c r="K376" s="4">
        <v>231</v>
      </c>
      <c r="L376" s="4">
        <v>12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/>
    </row>
    <row r="377" spans="1:23" x14ac:dyDescent="0.2">
      <c r="A377" s="4">
        <v>50</v>
      </c>
      <c r="B377" s="4">
        <v>0</v>
      </c>
      <c r="C377" s="4">
        <v>0</v>
      </c>
      <c r="D377" s="4">
        <v>1</v>
      </c>
      <c r="E377" s="4">
        <v>204</v>
      </c>
      <c r="F377" s="4">
        <f>ROUND(Source!R363,O377)</f>
        <v>1588.54</v>
      </c>
      <c r="G377" s="4" t="s">
        <v>90</v>
      </c>
      <c r="H377" s="4" t="s">
        <v>91</v>
      </c>
      <c r="I377" s="4"/>
      <c r="J377" s="4"/>
      <c r="K377" s="4">
        <v>204</v>
      </c>
      <c r="L377" s="4">
        <v>13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/>
    </row>
    <row r="378" spans="1:23" x14ac:dyDescent="0.2">
      <c r="A378" s="4">
        <v>50</v>
      </c>
      <c r="B378" s="4">
        <v>0</v>
      </c>
      <c r="C378" s="4">
        <v>0</v>
      </c>
      <c r="D378" s="4">
        <v>1</v>
      </c>
      <c r="E378" s="4">
        <v>205</v>
      </c>
      <c r="F378" s="4">
        <f>ROUND(Source!S363,O378)</f>
        <v>5114.74</v>
      </c>
      <c r="G378" s="4" t="s">
        <v>92</v>
      </c>
      <c r="H378" s="4" t="s">
        <v>93</v>
      </c>
      <c r="I378" s="4"/>
      <c r="J378" s="4"/>
      <c r="K378" s="4">
        <v>205</v>
      </c>
      <c r="L378" s="4">
        <v>14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/>
    </row>
    <row r="379" spans="1:23" x14ac:dyDescent="0.2">
      <c r="A379" s="4">
        <v>50</v>
      </c>
      <c r="B379" s="4">
        <v>0</v>
      </c>
      <c r="C379" s="4">
        <v>0</v>
      </c>
      <c r="D379" s="4">
        <v>1</v>
      </c>
      <c r="E379" s="4">
        <v>232</v>
      </c>
      <c r="F379" s="4">
        <f>ROUND(Source!BC363,O379)</f>
        <v>0</v>
      </c>
      <c r="G379" s="4" t="s">
        <v>94</v>
      </c>
      <c r="H379" s="4" t="s">
        <v>95</v>
      </c>
      <c r="I379" s="4"/>
      <c r="J379" s="4"/>
      <c r="K379" s="4">
        <v>232</v>
      </c>
      <c r="L379" s="4">
        <v>15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/>
    </row>
    <row r="380" spans="1:23" x14ac:dyDescent="0.2">
      <c r="A380" s="4">
        <v>50</v>
      </c>
      <c r="B380" s="4">
        <v>0</v>
      </c>
      <c r="C380" s="4">
        <v>0</v>
      </c>
      <c r="D380" s="4">
        <v>1</v>
      </c>
      <c r="E380" s="4">
        <v>214</v>
      </c>
      <c r="F380" s="4">
        <f>ROUND(Source!AS363,O380)</f>
        <v>202743.71</v>
      </c>
      <c r="G380" s="4" t="s">
        <v>96</v>
      </c>
      <c r="H380" s="4" t="s">
        <v>97</v>
      </c>
      <c r="I380" s="4"/>
      <c r="J380" s="4"/>
      <c r="K380" s="4">
        <v>214</v>
      </c>
      <c r="L380" s="4">
        <v>16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/>
    </row>
    <row r="381" spans="1:23" x14ac:dyDescent="0.2">
      <c r="A381" s="4">
        <v>50</v>
      </c>
      <c r="B381" s="4">
        <v>0</v>
      </c>
      <c r="C381" s="4">
        <v>0</v>
      </c>
      <c r="D381" s="4">
        <v>1</v>
      </c>
      <c r="E381" s="4">
        <v>215</v>
      </c>
      <c r="F381" s="4">
        <f>ROUND(Source!AT363,O381)</f>
        <v>0</v>
      </c>
      <c r="G381" s="4" t="s">
        <v>98</v>
      </c>
      <c r="H381" s="4" t="s">
        <v>99</v>
      </c>
      <c r="I381" s="4"/>
      <c r="J381" s="4"/>
      <c r="K381" s="4">
        <v>215</v>
      </c>
      <c r="L381" s="4">
        <v>17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/>
    </row>
    <row r="382" spans="1:23" x14ac:dyDescent="0.2">
      <c r="A382" s="4">
        <v>50</v>
      </c>
      <c r="B382" s="4">
        <v>0</v>
      </c>
      <c r="C382" s="4">
        <v>0</v>
      </c>
      <c r="D382" s="4">
        <v>1</v>
      </c>
      <c r="E382" s="4">
        <v>217</v>
      </c>
      <c r="F382" s="4">
        <f>ROUND(Source!AU363,O382)</f>
        <v>0</v>
      </c>
      <c r="G382" s="4" t="s">
        <v>100</v>
      </c>
      <c r="H382" s="4" t="s">
        <v>101</v>
      </c>
      <c r="I382" s="4"/>
      <c r="J382" s="4"/>
      <c r="K382" s="4">
        <v>217</v>
      </c>
      <c r="L382" s="4">
        <v>18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/>
    </row>
    <row r="383" spans="1:23" x14ac:dyDescent="0.2">
      <c r="A383" s="4">
        <v>50</v>
      </c>
      <c r="B383" s="4">
        <v>0</v>
      </c>
      <c r="C383" s="4">
        <v>0</v>
      </c>
      <c r="D383" s="4">
        <v>1</v>
      </c>
      <c r="E383" s="4">
        <v>230</v>
      </c>
      <c r="F383" s="4">
        <f>ROUND(Source!BA363,O383)</f>
        <v>0</v>
      </c>
      <c r="G383" s="4" t="s">
        <v>102</v>
      </c>
      <c r="H383" s="4" t="s">
        <v>103</v>
      </c>
      <c r="I383" s="4"/>
      <c r="J383" s="4"/>
      <c r="K383" s="4">
        <v>230</v>
      </c>
      <c r="L383" s="4">
        <v>19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/>
    </row>
    <row r="384" spans="1:23" x14ac:dyDescent="0.2">
      <c r="A384" s="4">
        <v>50</v>
      </c>
      <c r="B384" s="4">
        <v>0</v>
      </c>
      <c r="C384" s="4">
        <v>0</v>
      </c>
      <c r="D384" s="4">
        <v>1</v>
      </c>
      <c r="E384" s="4">
        <v>206</v>
      </c>
      <c r="F384" s="4">
        <f>ROUND(Source!T363,O384)</f>
        <v>0</v>
      </c>
      <c r="G384" s="4" t="s">
        <v>104</v>
      </c>
      <c r="H384" s="4" t="s">
        <v>105</v>
      </c>
      <c r="I384" s="4"/>
      <c r="J384" s="4"/>
      <c r="K384" s="4">
        <v>206</v>
      </c>
      <c r="L384" s="4">
        <v>20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/>
    </row>
    <row r="385" spans="1:206" x14ac:dyDescent="0.2">
      <c r="A385" s="4">
        <v>50</v>
      </c>
      <c r="B385" s="4">
        <v>0</v>
      </c>
      <c r="C385" s="4">
        <v>0</v>
      </c>
      <c r="D385" s="4">
        <v>1</v>
      </c>
      <c r="E385" s="4">
        <v>207</v>
      </c>
      <c r="F385" s="4">
        <f>Source!U363</f>
        <v>731.61551144999999</v>
      </c>
      <c r="G385" s="4" t="s">
        <v>106</v>
      </c>
      <c r="H385" s="4" t="s">
        <v>107</v>
      </c>
      <c r="I385" s="4"/>
      <c r="J385" s="4"/>
      <c r="K385" s="4">
        <v>207</v>
      </c>
      <c r="L385" s="4">
        <v>21</v>
      </c>
      <c r="M385" s="4">
        <v>3</v>
      </c>
      <c r="N385" s="4" t="s">
        <v>3</v>
      </c>
      <c r="O385" s="4">
        <v>-1</v>
      </c>
      <c r="P385" s="4"/>
      <c r="Q385" s="4"/>
      <c r="R385" s="4"/>
      <c r="S385" s="4"/>
      <c r="T385" s="4"/>
      <c r="U385" s="4"/>
      <c r="V385" s="4"/>
      <c r="W385" s="4"/>
    </row>
    <row r="386" spans="1:206" x14ac:dyDescent="0.2">
      <c r="A386" s="4">
        <v>50</v>
      </c>
      <c r="B386" s="4">
        <v>0</v>
      </c>
      <c r="C386" s="4">
        <v>0</v>
      </c>
      <c r="D386" s="4">
        <v>1</v>
      </c>
      <c r="E386" s="4">
        <v>208</v>
      </c>
      <c r="F386" s="4">
        <f>Source!V363</f>
        <v>128.76012399999999</v>
      </c>
      <c r="G386" s="4" t="s">
        <v>108</v>
      </c>
      <c r="H386" s="4" t="s">
        <v>109</v>
      </c>
      <c r="I386" s="4"/>
      <c r="J386" s="4"/>
      <c r="K386" s="4">
        <v>208</v>
      </c>
      <c r="L386" s="4">
        <v>22</v>
      </c>
      <c r="M386" s="4">
        <v>3</v>
      </c>
      <c r="N386" s="4" t="s">
        <v>3</v>
      </c>
      <c r="O386" s="4">
        <v>-1</v>
      </c>
      <c r="P386" s="4"/>
      <c r="Q386" s="4"/>
      <c r="R386" s="4"/>
      <c r="S386" s="4"/>
      <c r="T386" s="4"/>
      <c r="U386" s="4"/>
      <c r="V386" s="4"/>
      <c r="W386" s="4"/>
    </row>
    <row r="387" spans="1:206" x14ac:dyDescent="0.2">
      <c r="A387" s="4">
        <v>50</v>
      </c>
      <c r="B387" s="4">
        <v>0</v>
      </c>
      <c r="C387" s="4">
        <v>0</v>
      </c>
      <c r="D387" s="4">
        <v>1</v>
      </c>
      <c r="E387" s="4">
        <v>209</v>
      </c>
      <c r="F387" s="4">
        <f>ROUND(Source!W363,O387)</f>
        <v>0</v>
      </c>
      <c r="G387" s="4" t="s">
        <v>110</v>
      </c>
      <c r="H387" s="4" t="s">
        <v>111</v>
      </c>
      <c r="I387" s="4"/>
      <c r="J387" s="4"/>
      <c r="K387" s="4">
        <v>209</v>
      </c>
      <c r="L387" s="4">
        <v>23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/>
    </row>
    <row r="388" spans="1:206" x14ac:dyDescent="0.2">
      <c r="A388" s="4">
        <v>50</v>
      </c>
      <c r="B388" s="4">
        <v>0</v>
      </c>
      <c r="C388" s="4">
        <v>0</v>
      </c>
      <c r="D388" s="4">
        <v>1</v>
      </c>
      <c r="E388" s="4">
        <v>233</v>
      </c>
      <c r="F388" s="4">
        <f>ROUND(Source!BD363,O388)</f>
        <v>2489.41</v>
      </c>
      <c r="G388" s="4" t="s">
        <v>112</v>
      </c>
      <c r="H388" s="4" t="s">
        <v>113</v>
      </c>
      <c r="I388" s="4"/>
      <c r="J388" s="4"/>
      <c r="K388" s="4">
        <v>233</v>
      </c>
      <c r="L388" s="4">
        <v>24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/>
    </row>
    <row r="389" spans="1:206" x14ac:dyDescent="0.2">
      <c r="A389" s="4">
        <v>50</v>
      </c>
      <c r="B389" s="4">
        <v>1</v>
      </c>
      <c r="C389" s="4">
        <v>0</v>
      </c>
      <c r="D389" s="4">
        <v>1</v>
      </c>
      <c r="E389" s="4">
        <v>210</v>
      </c>
      <c r="F389" s="4">
        <f>ROUND(Source!X363,O389)</f>
        <v>8371.42</v>
      </c>
      <c r="G389" s="4" t="s">
        <v>114</v>
      </c>
      <c r="H389" s="4" t="s">
        <v>115</v>
      </c>
      <c r="I389" s="4"/>
      <c r="J389" s="4"/>
      <c r="K389" s="4">
        <v>210</v>
      </c>
      <c r="L389" s="4">
        <v>25</v>
      </c>
      <c r="M389" s="4">
        <v>0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/>
    </row>
    <row r="390" spans="1:206" x14ac:dyDescent="0.2">
      <c r="A390" s="4">
        <v>50</v>
      </c>
      <c r="B390" s="4">
        <v>1</v>
      </c>
      <c r="C390" s="4">
        <v>0</v>
      </c>
      <c r="D390" s="4">
        <v>1</v>
      </c>
      <c r="E390" s="4">
        <v>211</v>
      </c>
      <c r="F390" s="4">
        <f>ROUND(Source!Y363,O390)</f>
        <v>4824.72</v>
      </c>
      <c r="G390" s="4" t="s">
        <v>116</v>
      </c>
      <c r="H390" s="4" t="s">
        <v>117</v>
      </c>
      <c r="I390" s="4"/>
      <c r="J390" s="4"/>
      <c r="K390" s="4">
        <v>211</v>
      </c>
      <c r="L390" s="4">
        <v>26</v>
      </c>
      <c r="M390" s="4">
        <v>0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/>
    </row>
    <row r="391" spans="1:206" x14ac:dyDescent="0.2">
      <c r="A391" s="4">
        <v>50</v>
      </c>
      <c r="B391" s="4">
        <v>1</v>
      </c>
      <c r="C391" s="4">
        <v>0</v>
      </c>
      <c r="D391" s="4">
        <v>1</v>
      </c>
      <c r="E391" s="4">
        <v>224</v>
      </c>
      <c r="F391" s="4">
        <f>ROUND(Source!AR363,O391)</f>
        <v>202743.71</v>
      </c>
      <c r="G391" s="4" t="s">
        <v>118</v>
      </c>
      <c r="H391" s="4" t="s">
        <v>119</v>
      </c>
      <c r="I391" s="4"/>
      <c r="J391" s="4"/>
      <c r="K391" s="4">
        <v>224</v>
      </c>
      <c r="L391" s="4">
        <v>27</v>
      </c>
      <c r="M391" s="4">
        <v>0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/>
    </row>
    <row r="392" spans="1:206" x14ac:dyDescent="0.2">
      <c r="A392" s="4">
        <v>50</v>
      </c>
      <c r="B392" s="4">
        <v>1</v>
      </c>
      <c r="C392" s="4">
        <v>0</v>
      </c>
      <c r="D392" s="4">
        <v>2</v>
      </c>
      <c r="E392" s="4">
        <v>0</v>
      </c>
      <c r="F392" s="4">
        <f>ROUND((F391-F372)*8.21,O392)</f>
        <v>1664525.86</v>
      </c>
      <c r="G392" s="4" t="s">
        <v>307</v>
      </c>
      <c r="H392" s="4" t="s">
        <v>313</v>
      </c>
      <c r="I392" s="4"/>
      <c r="J392" s="4"/>
      <c r="K392" s="4">
        <v>212</v>
      </c>
      <c r="L392" s="4">
        <v>28</v>
      </c>
      <c r="M392" s="4">
        <v>0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/>
    </row>
    <row r="393" spans="1:206" x14ac:dyDescent="0.2">
      <c r="A393" s="4">
        <v>50</v>
      </c>
      <c r="B393" s="4">
        <v>1</v>
      </c>
      <c r="C393" s="4">
        <v>0</v>
      </c>
      <c r="D393" s="4">
        <v>2</v>
      </c>
      <c r="E393" s="4">
        <v>0</v>
      </c>
      <c r="F393" s="4">
        <f>ROUND(F392*0.2,O393)</f>
        <v>332905.17</v>
      </c>
      <c r="G393" s="4" t="s">
        <v>309</v>
      </c>
      <c r="H393" s="4" t="s">
        <v>310</v>
      </c>
      <c r="I393" s="4"/>
      <c r="J393" s="4"/>
      <c r="K393" s="4">
        <v>212</v>
      </c>
      <c r="L393" s="4">
        <v>29</v>
      </c>
      <c r="M393" s="4">
        <v>0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/>
    </row>
    <row r="394" spans="1:206" x14ac:dyDescent="0.2">
      <c r="A394" s="4">
        <v>50</v>
      </c>
      <c r="B394" s="4">
        <v>1</v>
      </c>
      <c r="C394" s="4">
        <v>0</v>
      </c>
      <c r="D394" s="4">
        <v>2</v>
      </c>
      <c r="E394" s="4">
        <v>0</v>
      </c>
      <c r="F394" s="4">
        <f>ROUND(F392+F393,O394)</f>
        <v>1997431.03</v>
      </c>
      <c r="G394" s="4" t="s">
        <v>311</v>
      </c>
      <c r="H394" s="4" t="s">
        <v>312</v>
      </c>
      <c r="I394" s="4"/>
      <c r="J394" s="4"/>
      <c r="K394" s="4">
        <v>212</v>
      </c>
      <c r="L394" s="4">
        <v>30</v>
      </c>
      <c r="M394" s="4">
        <v>0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/>
    </row>
    <row r="395" spans="1:206" x14ac:dyDescent="0.2">
      <c r="A395" s="4">
        <v>50</v>
      </c>
      <c r="B395" s="4">
        <v>1</v>
      </c>
      <c r="C395" s="4">
        <v>0</v>
      </c>
      <c r="D395" s="4">
        <v>2</v>
      </c>
      <c r="E395" s="4">
        <v>0</v>
      </c>
      <c r="F395" s="4">
        <v>0</v>
      </c>
      <c r="G395" s="4" t="s">
        <v>3</v>
      </c>
      <c r="H395" s="4" t="s">
        <v>3</v>
      </c>
      <c r="I395" s="4"/>
      <c r="J395" s="4"/>
      <c r="K395" s="4">
        <v>212</v>
      </c>
      <c r="L395" s="4">
        <v>31</v>
      </c>
      <c r="M395" s="4">
        <v>0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/>
    </row>
    <row r="396" spans="1:206" x14ac:dyDescent="0.2">
      <c r="A396" s="4">
        <v>50</v>
      </c>
      <c r="B396" s="4">
        <v>1</v>
      </c>
      <c r="C396" s="4">
        <v>0</v>
      </c>
      <c r="D396" s="4">
        <v>2</v>
      </c>
      <c r="E396" s="4">
        <v>0</v>
      </c>
      <c r="F396" s="4">
        <v>0</v>
      </c>
      <c r="G396" s="4" t="s">
        <v>3</v>
      </c>
      <c r="H396" s="4" t="s">
        <v>314</v>
      </c>
      <c r="I396" s="4"/>
      <c r="J396" s="4"/>
      <c r="K396" s="4">
        <v>212</v>
      </c>
      <c r="L396" s="4">
        <v>32</v>
      </c>
      <c r="M396" s="4">
        <v>0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/>
    </row>
    <row r="398" spans="1:206" x14ac:dyDescent="0.2">
      <c r="A398" s="2">
        <v>51</v>
      </c>
      <c r="B398" s="2">
        <f>B12</f>
        <v>457</v>
      </c>
      <c r="C398" s="2">
        <f>A12</f>
        <v>1</v>
      </c>
      <c r="D398" s="2">
        <f>ROW(A12)</f>
        <v>12</v>
      </c>
      <c r="E398" s="2"/>
      <c r="F398" s="2" t="str">
        <f>IF(F12&lt;&gt;"",F12,"")</f>
        <v>Новый объект_(Копия)_(Копия)_(Копия)_(Копия)_(Копия)</v>
      </c>
      <c r="G398" s="2" t="str">
        <f>IF(G12&lt;&gt;"",G12,"")</f>
        <v>ул. Октябрьской Революции 4</v>
      </c>
      <c r="H398" s="2">
        <v>0</v>
      </c>
      <c r="I398" s="2"/>
      <c r="J398" s="2"/>
      <c r="K398" s="2"/>
      <c r="L398" s="2"/>
      <c r="M398" s="2"/>
      <c r="N398" s="2"/>
      <c r="O398" s="2">
        <f t="shared" ref="O398:T398" si="228">ROUND(O363,2)</f>
        <v>189547.57</v>
      </c>
      <c r="P398" s="2">
        <f t="shared" si="228"/>
        <v>161408.45000000001</v>
      </c>
      <c r="Q398" s="2">
        <f t="shared" si="228"/>
        <v>23024.38</v>
      </c>
      <c r="R398" s="2">
        <f t="shared" si="228"/>
        <v>1588.54</v>
      </c>
      <c r="S398" s="2">
        <f t="shared" si="228"/>
        <v>5114.74</v>
      </c>
      <c r="T398" s="2">
        <f t="shared" si="228"/>
        <v>0</v>
      </c>
      <c r="U398" s="2">
        <f>U363</f>
        <v>731.61551144999999</v>
      </c>
      <c r="V398" s="2">
        <f>V363</f>
        <v>128.76012399999999</v>
      </c>
      <c r="W398" s="2">
        <f>ROUND(W363,2)</f>
        <v>0</v>
      </c>
      <c r="X398" s="2">
        <f>ROUND(X363,2)</f>
        <v>8371.42</v>
      </c>
      <c r="Y398" s="2">
        <f>ROUND(Y363,2)</f>
        <v>4824.72</v>
      </c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>
        <f t="shared" ref="AO398:BD398" si="229">ROUND(AO363,2)</f>
        <v>0</v>
      </c>
      <c r="AP398" s="2">
        <f t="shared" si="229"/>
        <v>0</v>
      </c>
      <c r="AQ398" s="2">
        <f t="shared" si="229"/>
        <v>0</v>
      </c>
      <c r="AR398" s="2">
        <f t="shared" si="229"/>
        <v>202743.71</v>
      </c>
      <c r="AS398" s="2">
        <f t="shared" si="229"/>
        <v>202743.71</v>
      </c>
      <c r="AT398" s="2">
        <f t="shared" si="229"/>
        <v>0</v>
      </c>
      <c r="AU398" s="2">
        <f t="shared" si="229"/>
        <v>0</v>
      </c>
      <c r="AV398" s="2">
        <f t="shared" si="229"/>
        <v>161408.45000000001</v>
      </c>
      <c r="AW398" s="2">
        <f t="shared" si="229"/>
        <v>161408.45000000001</v>
      </c>
      <c r="AX398" s="2">
        <f t="shared" si="229"/>
        <v>0</v>
      </c>
      <c r="AY398" s="2">
        <f t="shared" si="229"/>
        <v>161408.45000000001</v>
      </c>
      <c r="AZ398" s="2">
        <f t="shared" si="229"/>
        <v>0</v>
      </c>
      <c r="BA398" s="2">
        <f t="shared" si="229"/>
        <v>0</v>
      </c>
      <c r="BB398" s="2">
        <f t="shared" si="229"/>
        <v>0</v>
      </c>
      <c r="BC398" s="2">
        <f t="shared" si="229"/>
        <v>0</v>
      </c>
      <c r="BD398" s="2">
        <f t="shared" si="229"/>
        <v>2489.41</v>
      </c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  <c r="GU398" s="3"/>
      <c r="GV398" s="3"/>
      <c r="GW398" s="3"/>
      <c r="GX398" s="3">
        <v>0</v>
      </c>
    </row>
    <row r="400" spans="1:206" x14ac:dyDescent="0.2">
      <c r="A400" s="4">
        <v>50</v>
      </c>
      <c r="B400" s="4">
        <v>0</v>
      </c>
      <c r="C400" s="4">
        <v>0</v>
      </c>
      <c r="D400" s="4">
        <v>1</v>
      </c>
      <c r="E400" s="4">
        <v>201</v>
      </c>
      <c r="F400" s="4">
        <f>ROUND(Source!O398,O400)</f>
        <v>189547.57</v>
      </c>
      <c r="G400" s="4" t="s">
        <v>66</v>
      </c>
      <c r="H400" s="4" t="s">
        <v>67</v>
      </c>
      <c r="I400" s="4"/>
      <c r="J400" s="4"/>
      <c r="K400" s="4">
        <v>201</v>
      </c>
      <c r="L400" s="4">
        <v>1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/>
    </row>
    <row r="401" spans="1:23" x14ac:dyDescent="0.2">
      <c r="A401" s="4">
        <v>50</v>
      </c>
      <c r="B401" s="4">
        <v>0</v>
      </c>
      <c r="C401" s="4">
        <v>0</v>
      </c>
      <c r="D401" s="4">
        <v>1</v>
      </c>
      <c r="E401" s="4">
        <v>202</v>
      </c>
      <c r="F401" s="4">
        <f>ROUND(Source!P398,O401)</f>
        <v>161408.45000000001</v>
      </c>
      <c r="G401" s="4" t="s">
        <v>68</v>
      </c>
      <c r="H401" s="4" t="s">
        <v>69</v>
      </c>
      <c r="I401" s="4"/>
      <c r="J401" s="4"/>
      <c r="K401" s="4">
        <v>202</v>
      </c>
      <c r="L401" s="4">
        <v>2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/>
    </row>
    <row r="402" spans="1:23" x14ac:dyDescent="0.2">
      <c r="A402" s="4">
        <v>50</v>
      </c>
      <c r="B402" s="4">
        <v>0</v>
      </c>
      <c r="C402" s="4">
        <v>0</v>
      </c>
      <c r="D402" s="4">
        <v>1</v>
      </c>
      <c r="E402" s="4">
        <v>222</v>
      </c>
      <c r="F402" s="4">
        <f>ROUND(Source!AO398,O402)</f>
        <v>0</v>
      </c>
      <c r="G402" s="4" t="s">
        <v>70</v>
      </c>
      <c r="H402" s="4" t="s">
        <v>71</v>
      </c>
      <c r="I402" s="4"/>
      <c r="J402" s="4"/>
      <c r="K402" s="4">
        <v>222</v>
      </c>
      <c r="L402" s="4">
        <v>3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/>
    </row>
    <row r="403" spans="1:23" x14ac:dyDescent="0.2">
      <c r="A403" s="4">
        <v>50</v>
      </c>
      <c r="B403" s="4">
        <v>0</v>
      </c>
      <c r="C403" s="4">
        <v>0</v>
      </c>
      <c r="D403" s="4">
        <v>1</v>
      </c>
      <c r="E403" s="4">
        <v>225</v>
      </c>
      <c r="F403" s="4">
        <f>ROUND(Source!AV398,O403)</f>
        <v>161408.45000000001</v>
      </c>
      <c r="G403" s="4" t="s">
        <v>72</v>
      </c>
      <c r="H403" s="4" t="s">
        <v>73</v>
      </c>
      <c r="I403" s="4"/>
      <c r="J403" s="4"/>
      <c r="K403" s="4">
        <v>225</v>
      </c>
      <c r="L403" s="4">
        <v>4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/>
    </row>
    <row r="404" spans="1:23" x14ac:dyDescent="0.2">
      <c r="A404" s="4">
        <v>50</v>
      </c>
      <c r="B404" s="4">
        <v>0</v>
      </c>
      <c r="C404" s="4">
        <v>0</v>
      </c>
      <c r="D404" s="4">
        <v>1</v>
      </c>
      <c r="E404" s="4">
        <v>226</v>
      </c>
      <c r="F404" s="4">
        <f>ROUND(Source!AW398,O404)</f>
        <v>161408.45000000001</v>
      </c>
      <c r="G404" s="4" t="s">
        <v>74</v>
      </c>
      <c r="H404" s="4" t="s">
        <v>75</v>
      </c>
      <c r="I404" s="4"/>
      <c r="J404" s="4"/>
      <c r="K404" s="4">
        <v>226</v>
      </c>
      <c r="L404" s="4">
        <v>5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/>
    </row>
    <row r="405" spans="1:23" x14ac:dyDescent="0.2">
      <c r="A405" s="4">
        <v>50</v>
      </c>
      <c r="B405" s="4">
        <v>0</v>
      </c>
      <c r="C405" s="4">
        <v>0</v>
      </c>
      <c r="D405" s="4">
        <v>1</v>
      </c>
      <c r="E405" s="4">
        <v>227</v>
      </c>
      <c r="F405" s="4">
        <f>ROUND(Source!AX398,O405)</f>
        <v>0</v>
      </c>
      <c r="G405" s="4" t="s">
        <v>76</v>
      </c>
      <c r="H405" s="4" t="s">
        <v>77</v>
      </c>
      <c r="I405" s="4"/>
      <c r="J405" s="4"/>
      <c r="K405" s="4">
        <v>227</v>
      </c>
      <c r="L405" s="4">
        <v>6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/>
    </row>
    <row r="406" spans="1:23" x14ac:dyDescent="0.2">
      <c r="A406" s="4">
        <v>50</v>
      </c>
      <c r="B406" s="4">
        <v>0</v>
      </c>
      <c r="C406" s="4">
        <v>0</v>
      </c>
      <c r="D406" s="4">
        <v>1</v>
      </c>
      <c r="E406" s="4">
        <v>228</v>
      </c>
      <c r="F406" s="4">
        <f>ROUND(Source!AY398,O406)</f>
        <v>161408.45000000001</v>
      </c>
      <c r="G406" s="4" t="s">
        <v>78</v>
      </c>
      <c r="H406" s="4" t="s">
        <v>79</v>
      </c>
      <c r="I406" s="4"/>
      <c r="J406" s="4"/>
      <c r="K406" s="4">
        <v>228</v>
      </c>
      <c r="L406" s="4">
        <v>7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/>
    </row>
    <row r="407" spans="1:23" x14ac:dyDescent="0.2">
      <c r="A407" s="4">
        <v>50</v>
      </c>
      <c r="B407" s="4">
        <v>0</v>
      </c>
      <c r="C407" s="4">
        <v>0</v>
      </c>
      <c r="D407" s="4">
        <v>1</v>
      </c>
      <c r="E407" s="4">
        <v>216</v>
      </c>
      <c r="F407" s="4">
        <f>ROUND(Source!AP398,O407)</f>
        <v>0</v>
      </c>
      <c r="G407" s="4" t="s">
        <v>80</v>
      </c>
      <c r="H407" s="4" t="s">
        <v>81</v>
      </c>
      <c r="I407" s="4"/>
      <c r="J407" s="4"/>
      <c r="K407" s="4">
        <v>216</v>
      </c>
      <c r="L407" s="4">
        <v>8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/>
    </row>
    <row r="408" spans="1:23" x14ac:dyDescent="0.2">
      <c r="A408" s="4">
        <v>50</v>
      </c>
      <c r="B408" s="4">
        <v>0</v>
      </c>
      <c r="C408" s="4">
        <v>0</v>
      </c>
      <c r="D408" s="4">
        <v>1</v>
      </c>
      <c r="E408" s="4">
        <v>223</v>
      </c>
      <c r="F408" s="4">
        <f>ROUND(Source!AQ398,O408)</f>
        <v>0</v>
      </c>
      <c r="G408" s="4" t="s">
        <v>82</v>
      </c>
      <c r="H408" s="4" t="s">
        <v>83</v>
      </c>
      <c r="I408" s="4"/>
      <c r="J408" s="4"/>
      <c r="K408" s="4">
        <v>223</v>
      </c>
      <c r="L408" s="4">
        <v>9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/>
    </row>
    <row r="409" spans="1:23" x14ac:dyDescent="0.2">
      <c r="A409" s="4">
        <v>50</v>
      </c>
      <c r="B409" s="4">
        <v>0</v>
      </c>
      <c r="C409" s="4">
        <v>0</v>
      </c>
      <c r="D409" s="4">
        <v>1</v>
      </c>
      <c r="E409" s="4">
        <v>229</v>
      </c>
      <c r="F409" s="4">
        <f>ROUND(Source!AZ398,O409)</f>
        <v>0</v>
      </c>
      <c r="G409" s="4" t="s">
        <v>84</v>
      </c>
      <c r="H409" s="4" t="s">
        <v>85</v>
      </c>
      <c r="I409" s="4"/>
      <c r="J409" s="4"/>
      <c r="K409" s="4">
        <v>229</v>
      </c>
      <c r="L409" s="4">
        <v>10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/>
    </row>
    <row r="410" spans="1:23" x14ac:dyDescent="0.2">
      <c r="A410" s="4">
        <v>50</v>
      </c>
      <c r="B410" s="4">
        <v>0</v>
      </c>
      <c r="C410" s="4">
        <v>0</v>
      </c>
      <c r="D410" s="4">
        <v>1</v>
      </c>
      <c r="E410" s="4">
        <v>203</v>
      </c>
      <c r="F410" s="4">
        <f>ROUND(Source!Q398,O410)</f>
        <v>23024.38</v>
      </c>
      <c r="G410" s="4" t="s">
        <v>86</v>
      </c>
      <c r="H410" s="4" t="s">
        <v>87</v>
      </c>
      <c r="I410" s="4"/>
      <c r="J410" s="4"/>
      <c r="K410" s="4">
        <v>203</v>
      </c>
      <c r="L410" s="4">
        <v>11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/>
    </row>
    <row r="411" spans="1:23" x14ac:dyDescent="0.2">
      <c r="A411" s="4">
        <v>50</v>
      </c>
      <c r="B411" s="4">
        <v>0</v>
      </c>
      <c r="C411" s="4">
        <v>0</v>
      </c>
      <c r="D411" s="4">
        <v>1</v>
      </c>
      <c r="E411" s="4">
        <v>231</v>
      </c>
      <c r="F411" s="4">
        <f>ROUND(Source!BB398,O411)</f>
        <v>0</v>
      </c>
      <c r="G411" s="4" t="s">
        <v>88</v>
      </c>
      <c r="H411" s="4" t="s">
        <v>89</v>
      </c>
      <c r="I411" s="4"/>
      <c r="J411" s="4"/>
      <c r="K411" s="4">
        <v>231</v>
      </c>
      <c r="L411" s="4">
        <v>12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/>
    </row>
    <row r="412" spans="1:23" x14ac:dyDescent="0.2">
      <c r="A412" s="4">
        <v>50</v>
      </c>
      <c r="B412" s="4">
        <v>0</v>
      </c>
      <c r="C412" s="4">
        <v>0</v>
      </c>
      <c r="D412" s="4">
        <v>1</v>
      </c>
      <c r="E412" s="4">
        <v>204</v>
      </c>
      <c r="F412" s="4">
        <f>ROUND(Source!R398,O412)</f>
        <v>1588.54</v>
      </c>
      <c r="G412" s="4" t="s">
        <v>90</v>
      </c>
      <c r="H412" s="4" t="s">
        <v>91</v>
      </c>
      <c r="I412" s="4"/>
      <c r="J412" s="4"/>
      <c r="K412" s="4">
        <v>204</v>
      </c>
      <c r="L412" s="4">
        <v>13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/>
    </row>
    <row r="413" spans="1:23" x14ac:dyDescent="0.2">
      <c r="A413" s="4">
        <v>50</v>
      </c>
      <c r="B413" s="4">
        <v>0</v>
      </c>
      <c r="C413" s="4">
        <v>0</v>
      </c>
      <c r="D413" s="4">
        <v>1</v>
      </c>
      <c r="E413" s="4">
        <v>205</v>
      </c>
      <c r="F413" s="4">
        <f>ROUND(Source!S398,O413)</f>
        <v>5114.74</v>
      </c>
      <c r="G413" s="4" t="s">
        <v>92</v>
      </c>
      <c r="H413" s="4" t="s">
        <v>93</v>
      </c>
      <c r="I413" s="4"/>
      <c r="J413" s="4"/>
      <c r="K413" s="4">
        <v>205</v>
      </c>
      <c r="L413" s="4">
        <v>14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/>
    </row>
    <row r="414" spans="1:23" x14ac:dyDescent="0.2">
      <c r="A414" s="4">
        <v>50</v>
      </c>
      <c r="B414" s="4">
        <v>0</v>
      </c>
      <c r="C414" s="4">
        <v>0</v>
      </c>
      <c r="D414" s="4">
        <v>1</v>
      </c>
      <c r="E414" s="4">
        <v>232</v>
      </c>
      <c r="F414" s="4">
        <f>ROUND(Source!BC398,O414)</f>
        <v>0</v>
      </c>
      <c r="G414" s="4" t="s">
        <v>94</v>
      </c>
      <c r="H414" s="4" t="s">
        <v>95</v>
      </c>
      <c r="I414" s="4"/>
      <c r="J414" s="4"/>
      <c r="K414" s="4">
        <v>232</v>
      </c>
      <c r="L414" s="4">
        <v>15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/>
    </row>
    <row r="415" spans="1:23" x14ac:dyDescent="0.2">
      <c r="A415" s="4">
        <v>50</v>
      </c>
      <c r="B415" s="4">
        <v>0</v>
      </c>
      <c r="C415" s="4">
        <v>0</v>
      </c>
      <c r="D415" s="4">
        <v>1</v>
      </c>
      <c r="E415" s="4">
        <v>214</v>
      </c>
      <c r="F415" s="4">
        <f>ROUND(Source!AS398,O415)</f>
        <v>202743.71</v>
      </c>
      <c r="G415" s="4" t="s">
        <v>96</v>
      </c>
      <c r="H415" s="4" t="s">
        <v>97</v>
      </c>
      <c r="I415" s="4"/>
      <c r="J415" s="4"/>
      <c r="K415" s="4">
        <v>214</v>
      </c>
      <c r="L415" s="4">
        <v>16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/>
    </row>
    <row r="416" spans="1:23" x14ac:dyDescent="0.2">
      <c r="A416" s="4">
        <v>50</v>
      </c>
      <c r="B416" s="4">
        <v>0</v>
      </c>
      <c r="C416" s="4">
        <v>0</v>
      </c>
      <c r="D416" s="4">
        <v>1</v>
      </c>
      <c r="E416" s="4">
        <v>215</v>
      </c>
      <c r="F416" s="4">
        <f>ROUND(Source!AT398,O416)</f>
        <v>0</v>
      </c>
      <c r="G416" s="4" t="s">
        <v>98</v>
      </c>
      <c r="H416" s="4" t="s">
        <v>99</v>
      </c>
      <c r="I416" s="4"/>
      <c r="J416" s="4"/>
      <c r="K416" s="4">
        <v>215</v>
      </c>
      <c r="L416" s="4">
        <v>17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/>
    </row>
    <row r="417" spans="1:23" x14ac:dyDescent="0.2">
      <c r="A417" s="4">
        <v>50</v>
      </c>
      <c r="B417" s="4">
        <v>0</v>
      </c>
      <c r="C417" s="4">
        <v>0</v>
      </c>
      <c r="D417" s="4">
        <v>1</v>
      </c>
      <c r="E417" s="4">
        <v>217</v>
      </c>
      <c r="F417" s="4">
        <f>ROUND(Source!AU398,O417)</f>
        <v>0</v>
      </c>
      <c r="G417" s="4" t="s">
        <v>100</v>
      </c>
      <c r="H417" s="4" t="s">
        <v>101</v>
      </c>
      <c r="I417" s="4"/>
      <c r="J417" s="4"/>
      <c r="K417" s="4">
        <v>217</v>
      </c>
      <c r="L417" s="4">
        <v>18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/>
    </row>
    <row r="418" spans="1:23" x14ac:dyDescent="0.2">
      <c r="A418" s="4">
        <v>50</v>
      </c>
      <c r="B418" s="4">
        <v>0</v>
      </c>
      <c r="C418" s="4">
        <v>0</v>
      </c>
      <c r="D418" s="4">
        <v>1</v>
      </c>
      <c r="E418" s="4">
        <v>230</v>
      </c>
      <c r="F418" s="4">
        <f>ROUND(Source!BA398,O418)</f>
        <v>0</v>
      </c>
      <c r="G418" s="4" t="s">
        <v>102</v>
      </c>
      <c r="H418" s="4" t="s">
        <v>103</v>
      </c>
      <c r="I418" s="4"/>
      <c r="J418" s="4"/>
      <c r="K418" s="4">
        <v>230</v>
      </c>
      <c r="L418" s="4">
        <v>19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/>
    </row>
    <row r="419" spans="1:23" x14ac:dyDescent="0.2">
      <c r="A419" s="4">
        <v>50</v>
      </c>
      <c r="B419" s="4">
        <v>0</v>
      </c>
      <c r="C419" s="4">
        <v>0</v>
      </c>
      <c r="D419" s="4">
        <v>1</v>
      </c>
      <c r="E419" s="4">
        <v>206</v>
      </c>
      <c r="F419" s="4">
        <f>ROUND(Source!T398,O419)</f>
        <v>0</v>
      </c>
      <c r="G419" s="4" t="s">
        <v>104</v>
      </c>
      <c r="H419" s="4" t="s">
        <v>105</v>
      </c>
      <c r="I419" s="4"/>
      <c r="J419" s="4"/>
      <c r="K419" s="4">
        <v>206</v>
      </c>
      <c r="L419" s="4">
        <v>20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/>
    </row>
    <row r="420" spans="1:23" x14ac:dyDescent="0.2">
      <c r="A420" s="4">
        <v>50</v>
      </c>
      <c r="B420" s="4">
        <v>0</v>
      </c>
      <c r="C420" s="4">
        <v>0</v>
      </c>
      <c r="D420" s="4">
        <v>1</v>
      </c>
      <c r="E420" s="4">
        <v>207</v>
      </c>
      <c r="F420" s="4">
        <f>Source!U398</f>
        <v>731.61551144999999</v>
      </c>
      <c r="G420" s="4" t="s">
        <v>106</v>
      </c>
      <c r="H420" s="4" t="s">
        <v>107</v>
      </c>
      <c r="I420" s="4"/>
      <c r="J420" s="4"/>
      <c r="K420" s="4">
        <v>207</v>
      </c>
      <c r="L420" s="4">
        <v>21</v>
      </c>
      <c r="M420" s="4">
        <v>3</v>
      </c>
      <c r="N420" s="4" t="s">
        <v>3</v>
      </c>
      <c r="O420" s="4">
        <v>-1</v>
      </c>
      <c r="P420" s="4"/>
      <c r="Q420" s="4"/>
      <c r="R420" s="4"/>
      <c r="S420" s="4"/>
      <c r="T420" s="4"/>
      <c r="U420" s="4"/>
      <c r="V420" s="4"/>
      <c r="W420" s="4"/>
    </row>
    <row r="421" spans="1:23" x14ac:dyDescent="0.2">
      <c r="A421" s="4">
        <v>50</v>
      </c>
      <c r="B421" s="4">
        <v>0</v>
      </c>
      <c r="C421" s="4">
        <v>0</v>
      </c>
      <c r="D421" s="4">
        <v>1</v>
      </c>
      <c r="E421" s="4">
        <v>208</v>
      </c>
      <c r="F421" s="4">
        <f>Source!V398</f>
        <v>128.76012399999999</v>
      </c>
      <c r="G421" s="4" t="s">
        <v>108</v>
      </c>
      <c r="H421" s="4" t="s">
        <v>109</v>
      </c>
      <c r="I421" s="4"/>
      <c r="J421" s="4"/>
      <c r="K421" s="4">
        <v>208</v>
      </c>
      <c r="L421" s="4">
        <v>22</v>
      </c>
      <c r="M421" s="4">
        <v>3</v>
      </c>
      <c r="N421" s="4" t="s">
        <v>3</v>
      </c>
      <c r="O421" s="4">
        <v>-1</v>
      </c>
      <c r="P421" s="4"/>
      <c r="Q421" s="4"/>
      <c r="R421" s="4"/>
      <c r="S421" s="4"/>
      <c r="T421" s="4"/>
      <c r="U421" s="4"/>
      <c r="V421" s="4"/>
      <c r="W421" s="4"/>
    </row>
    <row r="422" spans="1:23" x14ac:dyDescent="0.2">
      <c r="A422" s="4">
        <v>50</v>
      </c>
      <c r="B422" s="4">
        <v>0</v>
      </c>
      <c r="C422" s="4">
        <v>0</v>
      </c>
      <c r="D422" s="4">
        <v>1</v>
      </c>
      <c r="E422" s="4">
        <v>209</v>
      </c>
      <c r="F422" s="4">
        <f>ROUND(Source!W398,O422)</f>
        <v>0</v>
      </c>
      <c r="G422" s="4" t="s">
        <v>110</v>
      </c>
      <c r="H422" s="4" t="s">
        <v>111</v>
      </c>
      <c r="I422" s="4"/>
      <c r="J422" s="4"/>
      <c r="K422" s="4">
        <v>209</v>
      </c>
      <c r="L422" s="4">
        <v>23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/>
    </row>
    <row r="423" spans="1:23" x14ac:dyDescent="0.2">
      <c r="A423" s="4">
        <v>50</v>
      </c>
      <c r="B423" s="4">
        <v>0</v>
      </c>
      <c r="C423" s="4">
        <v>0</v>
      </c>
      <c r="D423" s="4">
        <v>1</v>
      </c>
      <c r="E423" s="4">
        <v>233</v>
      </c>
      <c r="F423" s="4">
        <f>ROUND(Source!BD398,O423)</f>
        <v>2489.41</v>
      </c>
      <c r="G423" s="4" t="s">
        <v>112</v>
      </c>
      <c r="H423" s="4" t="s">
        <v>113</v>
      </c>
      <c r="I423" s="4"/>
      <c r="J423" s="4"/>
      <c r="K423" s="4">
        <v>233</v>
      </c>
      <c r="L423" s="4">
        <v>24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/>
    </row>
    <row r="424" spans="1:23" x14ac:dyDescent="0.2">
      <c r="A424" s="4">
        <v>50</v>
      </c>
      <c r="B424" s="4">
        <v>0</v>
      </c>
      <c r="C424" s="4">
        <v>0</v>
      </c>
      <c r="D424" s="4">
        <v>1</v>
      </c>
      <c r="E424" s="4">
        <v>210</v>
      </c>
      <c r="F424" s="4">
        <f>ROUND(Source!X398,O424)</f>
        <v>8371.42</v>
      </c>
      <c r="G424" s="4" t="s">
        <v>114</v>
      </c>
      <c r="H424" s="4" t="s">
        <v>115</v>
      </c>
      <c r="I424" s="4"/>
      <c r="J424" s="4"/>
      <c r="K424" s="4">
        <v>210</v>
      </c>
      <c r="L424" s="4">
        <v>25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/>
    </row>
    <row r="425" spans="1:23" x14ac:dyDescent="0.2">
      <c r="A425" s="4">
        <v>50</v>
      </c>
      <c r="B425" s="4">
        <v>0</v>
      </c>
      <c r="C425" s="4">
        <v>0</v>
      </c>
      <c r="D425" s="4">
        <v>1</v>
      </c>
      <c r="E425" s="4">
        <v>211</v>
      </c>
      <c r="F425" s="4">
        <f>ROUND(Source!Y398,O425)</f>
        <v>4824.72</v>
      </c>
      <c r="G425" s="4" t="s">
        <v>116</v>
      </c>
      <c r="H425" s="4" t="s">
        <v>117</v>
      </c>
      <c r="I425" s="4"/>
      <c r="J425" s="4"/>
      <c r="K425" s="4">
        <v>211</v>
      </c>
      <c r="L425" s="4">
        <v>26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/>
    </row>
    <row r="426" spans="1:23" x14ac:dyDescent="0.2">
      <c r="A426" s="4">
        <v>50</v>
      </c>
      <c r="B426" s="4">
        <v>0</v>
      </c>
      <c r="C426" s="4">
        <v>0</v>
      </c>
      <c r="D426" s="4">
        <v>1</v>
      </c>
      <c r="E426" s="4">
        <v>224</v>
      </c>
      <c r="F426" s="4">
        <f>ROUND(Source!AR398,O426)</f>
        <v>202743.71</v>
      </c>
      <c r="G426" s="4" t="s">
        <v>118</v>
      </c>
      <c r="H426" s="4" t="s">
        <v>119</v>
      </c>
      <c r="I426" s="4"/>
      <c r="J426" s="4"/>
      <c r="K426" s="4">
        <v>224</v>
      </c>
      <c r="L426" s="4">
        <v>27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/>
    </row>
    <row r="429" spans="1:23" x14ac:dyDescent="0.2">
      <c r="A429">
        <v>70</v>
      </c>
      <c r="B429">
        <v>1</v>
      </c>
      <c r="D429">
        <v>1</v>
      </c>
      <c r="E429" t="s">
        <v>315</v>
      </c>
      <c r="F429" t="s">
        <v>316</v>
      </c>
      <c r="G429">
        <v>0</v>
      </c>
      <c r="H429">
        <v>0</v>
      </c>
      <c r="I429" t="s">
        <v>3</v>
      </c>
      <c r="J429">
        <v>1</v>
      </c>
      <c r="K429">
        <v>0</v>
      </c>
      <c r="L429" t="s">
        <v>3</v>
      </c>
      <c r="M429" t="s">
        <v>3</v>
      </c>
      <c r="N429">
        <v>0</v>
      </c>
    </row>
    <row r="430" spans="1:23" x14ac:dyDescent="0.2">
      <c r="A430">
        <v>70</v>
      </c>
      <c r="B430">
        <v>1</v>
      </c>
      <c r="D430">
        <v>2</v>
      </c>
      <c r="E430" t="s">
        <v>317</v>
      </c>
      <c r="F430" t="s">
        <v>318</v>
      </c>
      <c r="G430">
        <v>0</v>
      </c>
      <c r="H430">
        <v>0</v>
      </c>
      <c r="I430" t="s">
        <v>3</v>
      </c>
      <c r="J430">
        <v>1</v>
      </c>
      <c r="K430">
        <v>0</v>
      </c>
      <c r="L430" t="s">
        <v>3</v>
      </c>
      <c r="M430" t="s">
        <v>3</v>
      </c>
      <c r="N430">
        <v>0</v>
      </c>
    </row>
    <row r="431" spans="1:23" x14ac:dyDescent="0.2">
      <c r="A431">
        <v>70</v>
      </c>
      <c r="B431">
        <v>1</v>
      </c>
      <c r="D431">
        <v>3</v>
      </c>
      <c r="E431" t="s">
        <v>319</v>
      </c>
      <c r="F431" t="s">
        <v>320</v>
      </c>
      <c r="G431">
        <v>1</v>
      </c>
      <c r="H431">
        <v>0</v>
      </c>
      <c r="I431" t="s">
        <v>3</v>
      </c>
      <c r="J431">
        <v>1</v>
      </c>
      <c r="K431">
        <v>0</v>
      </c>
      <c r="L431" t="s">
        <v>3</v>
      </c>
      <c r="M431" t="s">
        <v>3</v>
      </c>
      <c r="N431">
        <v>0</v>
      </c>
    </row>
    <row r="432" spans="1:23" x14ac:dyDescent="0.2">
      <c r="A432">
        <v>70</v>
      </c>
      <c r="B432">
        <v>1</v>
      </c>
      <c r="D432">
        <v>4</v>
      </c>
      <c r="E432" t="s">
        <v>321</v>
      </c>
      <c r="F432" t="s">
        <v>322</v>
      </c>
      <c r="G432">
        <v>0</v>
      </c>
      <c r="H432">
        <v>0</v>
      </c>
      <c r="I432" t="s">
        <v>323</v>
      </c>
      <c r="J432">
        <v>0</v>
      </c>
      <c r="K432">
        <v>0</v>
      </c>
      <c r="L432" t="s">
        <v>3</v>
      </c>
      <c r="M432" t="s">
        <v>3</v>
      </c>
      <c r="N432">
        <v>0</v>
      </c>
    </row>
    <row r="433" spans="1:14" x14ac:dyDescent="0.2">
      <c r="A433">
        <v>70</v>
      </c>
      <c r="B433">
        <v>1</v>
      </c>
      <c r="D433">
        <v>5</v>
      </c>
      <c r="E433" t="s">
        <v>324</v>
      </c>
      <c r="F433" t="s">
        <v>325</v>
      </c>
      <c r="G433">
        <v>0</v>
      </c>
      <c r="H433">
        <v>0</v>
      </c>
      <c r="I433" t="s">
        <v>326</v>
      </c>
      <c r="J433">
        <v>0</v>
      </c>
      <c r="K433">
        <v>0</v>
      </c>
      <c r="L433" t="s">
        <v>3</v>
      </c>
      <c r="M433" t="s">
        <v>3</v>
      </c>
      <c r="N433">
        <v>0</v>
      </c>
    </row>
    <row r="434" spans="1:14" x14ac:dyDescent="0.2">
      <c r="A434">
        <v>70</v>
      </c>
      <c r="B434">
        <v>1</v>
      </c>
      <c r="D434">
        <v>6</v>
      </c>
      <c r="E434" t="s">
        <v>327</v>
      </c>
      <c r="F434" t="s">
        <v>328</v>
      </c>
      <c r="G434">
        <v>0</v>
      </c>
      <c r="H434">
        <v>0</v>
      </c>
      <c r="I434" t="s">
        <v>329</v>
      </c>
      <c r="J434">
        <v>0</v>
      </c>
      <c r="K434">
        <v>0</v>
      </c>
      <c r="L434" t="s">
        <v>3</v>
      </c>
      <c r="M434" t="s">
        <v>3</v>
      </c>
      <c r="N434">
        <v>0</v>
      </c>
    </row>
    <row r="435" spans="1:14" x14ac:dyDescent="0.2">
      <c r="A435">
        <v>70</v>
      </c>
      <c r="B435">
        <v>1</v>
      </c>
      <c r="D435">
        <v>7</v>
      </c>
      <c r="E435" t="s">
        <v>330</v>
      </c>
      <c r="F435" t="s">
        <v>331</v>
      </c>
      <c r="G435">
        <v>1</v>
      </c>
      <c r="H435">
        <v>0</v>
      </c>
      <c r="I435" t="s">
        <v>3</v>
      </c>
      <c r="J435">
        <v>0</v>
      </c>
      <c r="K435">
        <v>0</v>
      </c>
      <c r="L435" t="s">
        <v>3</v>
      </c>
      <c r="M435" t="s">
        <v>3</v>
      </c>
      <c r="N435">
        <v>0</v>
      </c>
    </row>
    <row r="436" spans="1:14" x14ac:dyDescent="0.2">
      <c r="A436">
        <v>70</v>
      </c>
      <c r="B436">
        <v>1</v>
      </c>
      <c r="D436">
        <v>8</v>
      </c>
      <c r="E436" t="s">
        <v>332</v>
      </c>
      <c r="F436" t="s">
        <v>333</v>
      </c>
      <c r="G436">
        <v>0</v>
      </c>
      <c r="H436">
        <v>0</v>
      </c>
      <c r="I436" t="s">
        <v>334</v>
      </c>
      <c r="J436">
        <v>0</v>
      </c>
      <c r="K436">
        <v>0</v>
      </c>
      <c r="L436" t="s">
        <v>3</v>
      </c>
      <c r="M436" t="s">
        <v>3</v>
      </c>
      <c r="N436">
        <v>0</v>
      </c>
    </row>
    <row r="437" spans="1:14" x14ac:dyDescent="0.2">
      <c r="A437">
        <v>70</v>
      </c>
      <c r="B437">
        <v>1</v>
      </c>
      <c r="D437">
        <v>9</v>
      </c>
      <c r="E437" t="s">
        <v>335</v>
      </c>
      <c r="F437" t="s">
        <v>336</v>
      </c>
      <c r="G437">
        <v>0</v>
      </c>
      <c r="H437">
        <v>0</v>
      </c>
      <c r="I437" t="s">
        <v>337</v>
      </c>
      <c r="J437">
        <v>0</v>
      </c>
      <c r="K437">
        <v>0</v>
      </c>
      <c r="L437" t="s">
        <v>3</v>
      </c>
      <c r="M437" t="s">
        <v>3</v>
      </c>
      <c r="N437">
        <v>0</v>
      </c>
    </row>
    <row r="438" spans="1:14" x14ac:dyDescent="0.2">
      <c r="A438">
        <v>70</v>
      </c>
      <c r="B438">
        <v>1</v>
      </c>
      <c r="D438">
        <v>10</v>
      </c>
      <c r="E438" t="s">
        <v>338</v>
      </c>
      <c r="F438" t="s">
        <v>339</v>
      </c>
      <c r="G438">
        <v>0</v>
      </c>
      <c r="H438">
        <v>0</v>
      </c>
      <c r="I438" t="s">
        <v>340</v>
      </c>
      <c r="J438">
        <v>0</v>
      </c>
      <c r="K438">
        <v>0</v>
      </c>
      <c r="L438" t="s">
        <v>3</v>
      </c>
      <c r="M438" t="s">
        <v>3</v>
      </c>
      <c r="N438">
        <v>0</v>
      </c>
    </row>
    <row r="439" spans="1:14" x14ac:dyDescent="0.2">
      <c r="A439">
        <v>70</v>
      </c>
      <c r="B439">
        <v>1</v>
      </c>
      <c r="D439">
        <v>11</v>
      </c>
      <c r="E439" t="s">
        <v>341</v>
      </c>
      <c r="F439" t="s">
        <v>342</v>
      </c>
      <c r="G439">
        <v>0</v>
      </c>
      <c r="H439">
        <v>0</v>
      </c>
      <c r="I439" t="s">
        <v>343</v>
      </c>
      <c r="J439">
        <v>0</v>
      </c>
      <c r="K439">
        <v>0</v>
      </c>
      <c r="L439" t="s">
        <v>3</v>
      </c>
      <c r="M439" t="s">
        <v>3</v>
      </c>
      <c r="N439">
        <v>0</v>
      </c>
    </row>
    <row r="440" spans="1:14" x14ac:dyDescent="0.2">
      <c r="A440">
        <v>70</v>
      </c>
      <c r="B440">
        <v>1</v>
      </c>
      <c r="D440">
        <v>12</v>
      </c>
      <c r="E440" t="s">
        <v>344</v>
      </c>
      <c r="F440" t="s">
        <v>345</v>
      </c>
      <c r="G440">
        <v>0</v>
      </c>
      <c r="H440">
        <v>0</v>
      </c>
      <c r="I440" t="s">
        <v>3</v>
      </c>
      <c r="J440">
        <v>0</v>
      </c>
      <c r="K440">
        <v>0</v>
      </c>
      <c r="L440" t="s">
        <v>3</v>
      </c>
      <c r="M440" t="s">
        <v>3</v>
      </c>
      <c r="N440">
        <v>0</v>
      </c>
    </row>
    <row r="441" spans="1:14" x14ac:dyDescent="0.2">
      <c r="A441">
        <v>70</v>
      </c>
      <c r="B441">
        <v>1</v>
      </c>
      <c r="D441">
        <v>1</v>
      </c>
      <c r="E441" t="s">
        <v>346</v>
      </c>
      <c r="F441" t="s">
        <v>347</v>
      </c>
      <c r="G441">
        <v>0.9</v>
      </c>
      <c r="H441">
        <v>1</v>
      </c>
      <c r="I441" t="s">
        <v>348</v>
      </c>
      <c r="J441">
        <v>0</v>
      </c>
      <c r="K441">
        <v>0</v>
      </c>
      <c r="L441" t="s">
        <v>3</v>
      </c>
      <c r="M441" t="s">
        <v>3</v>
      </c>
      <c r="N441">
        <v>0</v>
      </c>
    </row>
    <row r="442" spans="1:14" x14ac:dyDescent="0.2">
      <c r="A442">
        <v>70</v>
      </c>
      <c r="B442">
        <v>1</v>
      </c>
      <c r="D442">
        <v>2</v>
      </c>
      <c r="E442" t="s">
        <v>349</v>
      </c>
      <c r="F442" t="s">
        <v>350</v>
      </c>
      <c r="G442">
        <v>0.85</v>
      </c>
      <c r="H442">
        <v>1</v>
      </c>
      <c r="I442" t="s">
        <v>351</v>
      </c>
      <c r="J442">
        <v>0</v>
      </c>
      <c r="K442">
        <v>0</v>
      </c>
      <c r="L442" t="s">
        <v>3</v>
      </c>
      <c r="M442" t="s">
        <v>3</v>
      </c>
      <c r="N442">
        <v>0</v>
      </c>
    </row>
    <row r="443" spans="1:14" x14ac:dyDescent="0.2">
      <c r="A443">
        <v>70</v>
      </c>
      <c r="B443">
        <v>1</v>
      </c>
      <c r="D443">
        <v>3</v>
      </c>
      <c r="E443" t="s">
        <v>352</v>
      </c>
      <c r="F443" t="s">
        <v>353</v>
      </c>
      <c r="G443">
        <v>1</v>
      </c>
      <c r="H443">
        <v>0.85</v>
      </c>
      <c r="I443" t="s">
        <v>354</v>
      </c>
      <c r="J443">
        <v>0</v>
      </c>
      <c r="K443">
        <v>0</v>
      </c>
      <c r="L443" t="s">
        <v>3</v>
      </c>
      <c r="M443" t="s">
        <v>3</v>
      </c>
      <c r="N443">
        <v>0</v>
      </c>
    </row>
    <row r="444" spans="1:14" x14ac:dyDescent="0.2">
      <c r="A444">
        <v>70</v>
      </c>
      <c r="B444">
        <v>1</v>
      </c>
      <c r="D444">
        <v>4</v>
      </c>
      <c r="E444" t="s">
        <v>355</v>
      </c>
      <c r="F444" t="s">
        <v>356</v>
      </c>
      <c r="G444">
        <v>1</v>
      </c>
      <c r="H444">
        <v>0</v>
      </c>
      <c r="I444" t="s">
        <v>3</v>
      </c>
      <c r="J444">
        <v>0</v>
      </c>
      <c r="K444">
        <v>0</v>
      </c>
      <c r="L444" t="s">
        <v>3</v>
      </c>
      <c r="M444" t="s">
        <v>3</v>
      </c>
      <c r="N444">
        <v>0</v>
      </c>
    </row>
    <row r="445" spans="1:14" x14ac:dyDescent="0.2">
      <c r="A445">
        <v>70</v>
      </c>
      <c r="B445">
        <v>1</v>
      </c>
      <c r="D445">
        <v>5</v>
      </c>
      <c r="E445" t="s">
        <v>357</v>
      </c>
      <c r="F445" t="s">
        <v>358</v>
      </c>
      <c r="G445">
        <v>1</v>
      </c>
      <c r="H445">
        <v>0.8</v>
      </c>
      <c r="I445" t="s">
        <v>359</v>
      </c>
      <c r="J445">
        <v>0</v>
      </c>
      <c r="K445">
        <v>0</v>
      </c>
      <c r="L445" t="s">
        <v>3</v>
      </c>
      <c r="M445" t="s">
        <v>3</v>
      </c>
      <c r="N445">
        <v>0</v>
      </c>
    </row>
    <row r="446" spans="1:14" x14ac:dyDescent="0.2">
      <c r="A446">
        <v>70</v>
      </c>
      <c r="B446">
        <v>1</v>
      </c>
      <c r="D446">
        <v>6</v>
      </c>
      <c r="E446" t="s">
        <v>360</v>
      </c>
      <c r="F446" t="s">
        <v>361</v>
      </c>
      <c r="G446">
        <v>1</v>
      </c>
      <c r="H446">
        <v>0</v>
      </c>
      <c r="I446" t="s">
        <v>3</v>
      </c>
      <c r="J446">
        <v>0</v>
      </c>
      <c r="K446">
        <v>0</v>
      </c>
      <c r="L446" t="s">
        <v>3</v>
      </c>
      <c r="M446" t="s">
        <v>3</v>
      </c>
      <c r="N446">
        <v>0</v>
      </c>
    </row>
    <row r="447" spans="1:14" x14ac:dyDescent="0.2">
      <c r="A447">
        <v>70</v>
      </c>
      <c r="B447">
        <v>1</v>
      </c>
      <c r="D447">
        <v>7</v>
      </c>
      <c r="E447" t="s">
        <v>362</v>
      </c>
      <c r="F447" t="s">
        <v>363</v>
      </c>
      <c r="G447">
        <v>1</v>
      </c>
      <c r="H447">
        <v>0</v>
      </c>
      <c r="I447" t="s">
        <v>3</v>
      </c>
      <c r="J447">
        <v>0</v>
      </c>
      <c r="K447">
        <v>0</v>
      </c>
      <c r="L447" t="s">
        <v>3</v>
      </c>
      <c r="M447" t="s">
        <v>3</v>
      </c>
      <c r="N447">
        <v>0</v>
      </c>
    </row>
    <row r="448" spans="1:14" x14ac:dyDescent="0.2">
      <c r="A448">
        <v>70</v>
      </c>
      <c r="B448">
        <v>1</v>
      </c>
      <c r="D448">
        <v>8</v>
      </c>
      <c r="E448" t="s">
        <v>364</v>
      </c>
      <c r="F448" t="s">
        <v>365</v>
      </c>
      <c r="G448">
        <v>0.7</v>
      </c>
      <c r="H448">
        <v>0</v>
      </c>
      <c r="I448" t="s">
        <v>3</v>
      </c>
      <c r="J448">
        <v>0</v>
      </c>
      <c r="K448">
        <v>0</v>
      </c>
      <c r="L448" t="s">
        <v>3</v>
      </c>
      <c r="M448" t="s">
        <v>3</v>
      </c>
      <c r="N448">
        <v>0</v>
      </c>
    </row>
    <row r="449" spans="1:15" x14ac:dyDescent="0.2">
      <c r="A449">
        <v>70</v>
      </c>
      <c r="B449">
        <v>1</v>
      </c>
      <c r="D449">
        <v>9</v>
      </c>
      <c r="E449" t="s">
        <v>366</v>
      </c>
      <c r="F449" t="s">
        <v>367</v>
      </c>
      <c r="G449">
        <v>0.9</v>
      </c>
      <c r="H449">
        <v>0</v>
      </c>
      <c r="I449" t="s">
        <v>3</v>
      </c>
      <c r="J449">
        <v>0</v>
      </c>
      <c r="K449">
        <v>0</v>
      </c>
      <c r="L449" t="s">
        <v>3</v>
      </c>
      <c r="M449" t="s">
        <v>3</v>
      </c>
      <c r="N449">
        <v>0</v>
      </c>
    </row>
    <row r="450" spans="1:15" x14ac:dyDescent="0.2">
      <c r="A450">
        <v>70</v>
      </c>
      <c r="B450">
        <v>1</v>
      </c>
      <c r="D450">
        <v>10</v>
      </c>
      <c r="E450" t="s">
        <v>368</v>
      </c>
      <c r="F450" t="s">
        <v>369</v>
      </c>
      <c r="G450">
        <v>0.6</v>
      </c>
      <c r="H450">
        <v>0</v>
      </c>
      <c r="I450" t="s">
        <v>3</v>
      </c>
      <c r="J450">
        <v>0</v>
      </c>
      <c r="K450">
        <v>0</v>
      </c>
      <c r="L450" t="s">
        <v>3</v>
      </c>
      <c r="M450" t="s">
        <v>3</v>
      </c>
      <c r="N450">
        <v>0</v>
      </c>
    </row>
    <row r="451" spans="1:15" x14ac:dyDescent="0.2">
      <c r="A451">
        <v>70</v>
      </c>
      <c r="B451">
        <v>1</v>
      </c>
      <c r="D451">
        <v>11</v>
      </c>
      <c r="E451" t="s">
        <v>370</v>
      </c>
      <c r="F451" t="s">
        <v>371</v>
      </c>
      <c r="G451">
        <v>1.2</v>
      </c>
      <c r="H451">
        <v>0</v>
      </c>
      <c r="I451" t="s">
        <v>3</v>
      </c>
      <c r="J451">
        <v>0</v>
      </c>
      <c r="K451">
        <v>0</v>
      </c>
      <c r="L451" t="s">
        <v>3</v>
      </c>
      <c r="M451" t="s">
        <v>3</v>
      </c>
      <c r="N451">
        <v>0</v>
      </c>
    </row>
    <row r="452" spans="1:15" x14ac:dyDescent="0.2">
      <c r="A452">
        <v>70</v>
      </c>
      <c r="B452">
        <v>1</v>
      </c>
      <c r="D452">
        <v>12</v>
      </c>
      <c r="E452" t="s">
        <v>372</v>
      </c>
      <c r="F452" t="s">
        <v>373</v>
      </c>
      <c r="G452">
        <v>0</v>
      </c>
      <c r="H452">
        <v>0</v>
      </c>
      <c r="I452" t="s">
        <v>3</v>
      </c>
      <c r="J452">
        <v>0</v>
      </c>
      <c r="K452">
        <v>0</v>
      </c>
      <c r="L452" t="s">
        <v>3</v>
      </c>
      <c r="M452" t="s">
        <v>3</v>
      </c>
      <c r="N452">
        <v>0</v>
      </c>
    </row>
    <row r="453" spans="1:15" x14ac:dyDescent="0.2">
      <c r="A453">
        <v>70</v>
      </c>
      <c r="B453">
        <v>1</v>
      </c>
      <c r="D453">
        <v>13</v>
      </c>
      <c r="E453" t="s">
        <v>374</v>
      </c>
      <c r="F453" t="s">
        <v>375</v>
      </c>
      <c r="G453">
        <v>1</v>
      </c>
      <c r="H453">
        <v>0</v>
      </c>
      <c r="I453" t="s">
        <v>3</v>
      </c>
      <c r="J453">
        <v>0</v>
      </c>
      <c r="K453">
        <v>0</v>
      </c>
      <c r="L453" t="s">
        <v>3</v>
      </c>
      <c r="M453" t="s">
        <v>3</v>
      </c>
      <c r="N453">
        <v>0</v>
      </c>
    </row>
    <row r="455" spans="1:15" x14ac:dyDescent="0.2">
      <c r="A455">
        <v>-1</v>
      </c>
    </row>
    <row r="457" spans="1:15" x14ac:dyDescent="0.2">
      <c r="A457" s="3">
        <v>75</v>
      </c>
      <c r="B457" s="3" t="s">
        <v>376</v>
      </c>
      <c r="C457" s="3">
        <v>0</v>
      </c>
      <c r="D457" s="3">
        <v>0</v>
      </c>
      <c r="E457" s="3">
        <v>0</v>
      </c>
      <c r="F457" s="3">
        <v>1</v>
      </c>
      <c r="G457" s="3">
        <v>0</v>
      </c>
      <c r="H457" s="3">
        <v>1</v>
      </c>
      <c r="I457" s="3">
        <v>0</v>
      </c>
      <c r="J457" s="3">
        <v>3</v>
      </c>
      <c r="K457" s="3">
        <v>0</v>
      </c>
      <c r="L457" s="3">
        <v>0</v>
      </c>
      <c r="M457" s="3">
        <v>0</v>
      </c>
      <c r="N457" s="3">
        <v>39201625</v>
      </c>
      <c r="O457" s="3">
        <v>1</v>
      </c>
    </row>
    <row r="461" spans="1:15" x14ac:dyDescent="0.2">
      <c r="A461">
        <v>65</v>
      </c>
      <c r="C461">
        <v>1</v>
      </c>
      <c r="D461">
        <v>0</v>
      </c>
      <c r="E46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377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51900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39201625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(Source!F380)/1000</f>
        <v>202.74370999999999</v>
      </c>
      <c r="F16" s="6">
        <f>(Source!F381)/1000</f>
        <v>0</v>
      </c>
      <c r="G16" s="6">
        <f>(Source!F372)/1000</f>
        <v>0</v>
      </c>
      <c r="H16" s="6">
        <f>(Source!F382)/1000+(Source!F383)/1000</f>
        <v>0</v>
      </c>
      <c r="I16" s="6">
        <f>E16+F16+G16+H16</f>
        <v>202.74370999999999</v>
      </c>
      <c r="J16" s="6">
        <f>(Source!F378)/1000</f>
        <v>5.1147399999999994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190942.48</v>
      </c>
      <c r="AU16" s="6">
        <v>161408.85</v>
      </c>
      <c r="AV16" s="6">
        <v>0</v>
      </c>
      <c r="AW16" s="6">
        <v>0</v>
      </c>
      <c r="AX16" s="6">
        <v>0</v>
      </c>
      <c r="AY16" s="6">
        <v>24413.73</v>
      </c>
      <c r="AZ16" s="6">
        <v>1622.51</v>
      </c>
      <c r="BA16" s="6">
        <v>5119.8999999999996</v>
      </c>
      <c r="BB16" s="6">
        <v>204192.62</v>
      </c>
      <c r="BC16" s="6">
        <v>0</v>
      </c>
      <c r="BD16" s="6">
        <v>0</v>
      </c>
      <c r="BE16" s="6">
        <v>0</v>
      </c>
      <c r="BF16" s="6">
        <v>732.42805544999987</v>
      </c>
      <c r="BG16" s="6">
        <v>131.321404</v>
      </c>
      <c r="BH16" s="6">
        <v>0</v>
      </c>
      <c r="BI16" s="6">
        <v>8408.6</v>
      </c>
      <c r="BJ16" s="6">
        <v>4841.54</v>
      </c>
      <c r="BK16" s="6">
        <v>204192.62</v>
      </c>
    </row>
    <row r="18" spans="1:19" x14ac:dyDescent="0.2">
      <c r="A18">
        <v>51</v>
      </c>
      <c r="E18" s="7">
        <f>SUMIF(A16:A17,3,E16:E17)</f>
        <v>202.74370999999999</v>
      </c>
      <c r="F18" s="7">
        <f>SUMIF(A16:A17,3,F16:F17)</f>
        <v>0</v>
      </c>
      <c r="G18" s="7">
        <f>SUMIF(A16:A17,3,G16:G17)</f>
        <v>0</v>
      </c>
      <c r="H18" s="7">
        <f>SUMIF(A16:A17,3,H16:H17)</f>
        <v>0</v>
      </c>
      <c r="I18" s="7">
        <f>SUMIF(A16:A17,3,I16:I17)</f>
        <v>202.74370999999999</v>
      </c>
      <c r="J18" s="7">
        <f>SUMIF(A16:A17,3,J16:J17)</f>
        <v>5.1147399999999994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190942.48</v>
      </c>
      <c r="G20" s="4" t="s">
        <v>66</v>
      </c>
      <c r="H20" s="4" t="s">
        <v>67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161408.85</v>
      </c>
      <c r="G21" s="4" t="s">
        <v>68</v>
      </c>
      <c r="H21" s="4" t="s">
        <v>69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70</v>
      </c>
      <c r="H22" s="4" t="s">
        <v>71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161408.85</v>
      </c>
      <c r="G23" s="4" t="s">
        <v>72</v>
      </c>
      <c r="H23" s="4" t="s">
        <v>73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161408.85</v>
      </c>
      <c r="G24" s="4" t="s">
        <v>74</v>
      </c>
      <c r="H24" s="4" t="s">
        <v>75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76</v>
      </c>
      <c r="H25" s="4" t="s">
        <v>77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161408.85</v>
      </c>
      <c r="G26" s="4" t="s">
        <v>78</v>
      </c>
      <c r="H26" s="4" t="s">
        <v>79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80</v>
      </c>
      <c r="H27" s="4" t="s">
        <v>81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82</v>
      </c>
      <c r="H28" s="4" t="s">
        <v>83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84</v>
      </c>
      <c r="H29" s="4" t="s">
        <v>85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24413.73</v>
      </c>
      <c r="G30" s="4" t="s">
        <v>86</v>
      </c>
      <c r="H30" s="4" t="s">
        <v>87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88</v>
      </c>
      <c r="H31" s="4" t="s">
        <v>89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1622.51</v>
      </c>
      <c r="G32" s="4" t="s">
        <v>90</v>
      </c>
      <c r="H32" s="4" t="s">
        <v>91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5119.8999999999996</v>
      </c>
      <c r="G33" s="4" t="s">
        <v>92</v>
      </c>
      <c r="H33" s="4" t="s">
        <v>93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94</v>
      </c>
      <c r="H34" s="4" t="s">
        <v>95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204192.62</v>
      </c>
      <c r="G35" s="4" t="s">
        <v>96</v>
      </c>
      <c r="H35" s="4" t="s">
        <v>97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98</v>
      </c>
      <c r="H36" s="4" t="s">
        <v>99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100</v>
      </c>
      <c r="H37" s="4" t="s">
        <v>101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102</v>
      </c>
      <c r="H38" s="4" t="s">
        <v>103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104</v>
      </c>
      <c r="H39" s="4" t="s">
        <v>105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732.42805544999987</v>
      </c>
      <c r="G40" s="4" t="s">
        <v>106</v>
      </c>
      <c r="H40" s="4" t="s">
        <v>107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131.321404</v>
      </c>
      <c r="G41" s="4" t="s">
        <v>108</v>
      </c>
      <c r="H41" s="4" t="s">
        <v>109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110</v>
      </c>
      <c r="H42" s="4" t="s">
        <v>111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3590.65</v>
      </c>
      <c r="G43" s="4" t="s">
        <v>112</v>
      </c>
      <c r="H43" s="4" t="s">
        <v>113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8408.6</v>
      </c>
      <c r="G44" s="4" t="s">
        <v>114</v>
      </c>
      <c r="H44" s="4" t="s">
        <v>115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4841.54</v>
      </c>
      <c r="G45" s="4" t="s">
        <v>116</v>
      </c>
      <c r="H45" s="4" t="s">
        <v>117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204192.62</v>
      </c>
      <c r="G46" s="4" t="s">
        <v>118</v>
      </c>
      <c r="H46" s="4" t="s">
        <v>119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376</v>
      </c>
      <c r="C51" s="3">
        <v>0</v>
      </c>
      <c r="D51" s="3">
        <v>0</v>
      </c>
      <c r="E51" s="3">
        <v>0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39201625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9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ROW(Source!A32)</f>
        <v>32</v>
      </c>
      <c r="B1">
        <v>39201625</v>
      </c>
      <c r="C1">
        <v>39202231</v>
      </c>
      <c r="D1">
        <v>24233887</v>
      </c>
      <c r="E1">
        <v>1</v>
      </c>
      <c r="F1">
        <v>1</v>
      </c>
      <c r="G1">
        <v>1</v>
      </c>
      <c r="H1">
        <v>1</v>
      </c>
      <c r="I1" t="s">
        <v>378</v>
      </c>
      <c r="J1" t="s">
        <v>3</v>
      </c>
      <c r="K1" t="s">
        <v>379</v>
      </c>
      <c r="L1">
        <v>1476</v>
      </c>
      <c r="N1">
        <v>1013</v>
      </c>
      <c r="O1" t="s">
        <v>380</v>
      </c>
      <c r="P1" t="s">
        <v>381</v>
      </c>
      <c r="Q1">
        <v>1</v>
      </c>
      <c r="W1">
        <v>0</v>
      </c>
      <c r="X1">
        <v>2017347174</v>
      </c>
      <c r="Y1">
        <v>77.72</v>
      </c>
      <c r="AA1">
        <v>0</v>
      </c>
      <c r="AB1">
        <v>0</v>
      </c>
      <c r="AC1">
        <v>0</v>
      </c>
      <c r="AD1">
        <v>6.58</v>
      </c>
      <c r="AE1">
        <v>0</v>
      </c>
      <c r="AF1">
        <v>0</v>
      </c>
      <c r="AG1">
        <v>0</v>
      </c>
      <c r="AH1">
        <v>6.58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77.72</v>
      </c>
      <c r="AU1" t="s">
        <v>3</v>
      </c>
      <c r="AV1">
        <v>1</v>
      </c>
      <c r="AW1">
        <v>2</v>
      </c>
      <c r="AX1">
        <v>39202237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Y1*Source!I32</f>
        <v>0.11658</v>
      </c>
      <c r="CY1">
        <f>AD1</f>
        <v>6.58</v>
      </c>
      <c r="CZ1">
        <f>AH1</f>
        <v>6.58</v>
      </c>
      <c r="DA1">
        <f>AL1</f>
        <v>1</v>
      </c>
      <c r="DB1">
        <f t="shared" ref="DB1:DB16" si="0">ROUND(ROUND(AT1*CZ1,2),2)</f>
        <v>511.4</v>
      </c>
      <c r="DC1">
        <f t="shared" ref="DC1:DC16" si="1">ROUND(ROUND(AT1*AG1,2),2)</f>
        <v>0</v>
      </c>
    </row>
    <row r="2" spans="1:107" x14ac:dyDescent="0.2">
      <c r="A2">
        <f>ROW(Source!A32)</f>
        <v>32</v>
      </c>
      <c r="B2">
        <v>39201625</v>
      </c>
      <c r="C2">
        <v>39202231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382</v>
      </c>
      <c r="L2">
        <v>608254</v>
      </c>
      <c r="N2">
        <v>1013</v>
      </c>
      <c r="O2" t="s">
        <v>383</v>
      </c>
      <c r="P2" t="s">
        <v>383</v>
      </c>
      <c r="Q2">
        <v>1</v>
      </c>
      <c r="W2">
        <v>0</v>
      </c>
      <c r="X2">
        <v>-185737400</v>
      </c>
      <c r="Y2">
        <v>16.850000000000001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16.850000000000001</v>
      </c>
      <c r="AU2" t="s">
        <v>3</v>
      </c>
      <c r="AV2">
        <v>2</v>
      </c>
      <c r="AW2">
        <v>2</v>
      </c>
      <c r="AX2">
        <v>39202238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Y2*Source!I32</f>
        <v>2.5275000000000002E-2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">
      <c r="A3">
        <f>ROW(Source!A32)</f>
        <v>32</v>
      </c>
      <c r="B3">
        <v>39201625</v>
      </c>
      <c r="C3">
        <v>39202231</v>
      </c>
      <c r="D3">
        <v>26554108</v>
      </c>
      <c r="E3">
        <v>1</v>
      </c>
      <c r="F3">
        <v>1</v>
      </c>
      <c r="G3">
        <v>1</v>
      </c>
      <c r="H3">
        <v>2</v>
      </c>
      <c r="I3" t="s">
        <v>384</v>
      </c>
      <c r="J3" t="s">
        <v>385</v>
      </c>
      <c r="K3" t="s">
        <v>386</v>
      </c>
      <c r="L3">
        <v>26553684</v>
      </c>
      <c r="N3">
        <v>1013</v>
      </c>
      <c r="O3" t="s">
        <v>387</v>
      </c>
      <c r="P3" t="s">
        <v>387</v>
      </c>
      <c r="Q3">
        <v>1</v>
      </c>
      <c r="W3">
        <v>0</v>
      </c>
      <c r="X3">
        <v>788959131</v>
      </c>
      <c r="Y3">
        <v>12.34</v>
      </c>
      <c r="AA3">
        <v>0</v>
      </c>
      <c r="AB3">
        <v>125.46</v>
      </c>
      <c r="AC3">
        <v>13.26</v>
      </c>
      <c r="AD3">
        <v>0</v>
      </c>
      <c r="AE3">
        <v>0</v>
      </c>
      <c r="AF3">
        <v>125.46</v>
      </c>
      <c r="AG3">
        <v>13.26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12.34</v>
      </c>
      <c r="AU3" t="s">
        <v>3</v>
      </c>
      <c r="AV3">
        <v>0</v>
      </c>
      <c r="AW3">
        <v>2</v>
      </c>
      <c r="AX3">
        <v>39202239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Y3*Source!I32</f>
        <v>1.8509999999999999E-2</v>
      </c>
      <c r="CY3">
        <f>AB3</f>
        <v>125.46</v>
      </c>
      <c r="CZ3">
        <f>AF3</f>
        <v>125.46</v>
      </c>
      <c r="DA3">
        <f>AJ3</f>
        <v>1</v>
      </c>
      <c r="DB3">
        <f t="shared" si="0"/>
        <v>1548.18</v>
      </c>
      <c r="DC3">
        <f t="shared" si="1"/>
        <v>163.63</v>
      </c>
    </row>
    <row r="4" spans="1:107" x14ac:dyDescent="0.2">
      <c r="A4">
        <f>ROW(Source!A32)</f>
        <v>32</v>
      </c>
      <c r="B4">
        <v>39201625</v>
      </c>
      <c r="C4">
        <v>39202231</v>
      </c>
      <c r="D4">
        <v>26554179</v>
      </c>
      <c r="E4">
        <v>1</v>
      </c>
      <c r="F4">
        <v>1</v>
      </c>
      <c r="G4">
        <v>1</v>
      </c>
      <c r="H4">
        <v>2</v>
      </c>
      <c r="I4" t="s">
        <v>388</v>
      </c>
      <c r="J4" t="s">
        <v>389</v>
      </c>
      <c r="K4" t="s">
        <v>390</v>
      </c>
      <c r="L4">
        <v>26553684</v>
      </c>
      <c r="N4">
        <v>1013</v>
      </c>
      <c r="O4" t="s">
        <v>387</v>
      </c>
      <c r="P4" t="s">
        <v>387</v>
      </c>
      <c r="Q4">
        <v>1</v>
      </c>
      <c r="W4">
        <v>0</v>
      </c>
      <c r="X4">
        <v>-1268920169</v>
      </c>
      <c r="Y4">
        <v>4.51</v>
      </c>
      <c r="AA4">
        <v>0</v>
      </c>
      <c r="AB4">
        <v>79.75</v>
      </c>
      <c r="AC4">
        <v>13.26</v>
      </c>
      <c r="AD4">
        <v>0</v>
      </c>
      <c r="AE4">
        <v>0</v>
      </c>
      <c r="AF4">
        <v>79.75</v>
      </c>
      <c r="AG4">
        <v>13.26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4.51</v>
      </c>
      <c r="AU4" t="s">
        <v>3</v>
      </c>
      <c r="AV4">
        <v>0</v>
      </c>
      <c r="AW4">
        <v>2</v>
      </c>
      <c r="AX4">
        <v>39202240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Y4*Source!I32</f>
        <v>6.7650000000000002E-3</v>
      </c>
      <c r="CY4">
        <f>AB4</f>
        <v>79.75</v>
      </c>
      <c r="CZ4">
        <f>AF4</f>
        <v>79.75</v>
      </c>
      <c r="DA4">
        <f>AJ4</f>
        <v>1</v>
      </c>
      <c r="DB4">
        <f t="shared" si="0"/>
        <v>359.67</v>
      </c>
      <c r="DC4">
        <f t="shared" si="1"/>
        <v>59.8</v>
      </c>
    </row>
    <row r="5" spans="1:107" x14ac:dyDescent="0.2">
      <c r="A5">
        <f>ROW(Source!A32)</f>
        <v>32</v>
      </c>
      <c r="B5">
        <v>39201625</v>
      </c>
      <c r="C5">
        <v>39202231</v>
      </c>
      <c r="D5">
        <v>26554263</v>
      </c>
      <c r="E5">
        <v>1</v>
      </c>
      <c r="F5">
        <v>1</v>
      </c>
      <c r="G5">
        <v>1</v>
      </c>
      <c r="H5">
        <v>2</v>
      </c>
      <c r="I5" t="s">
        <v>391</v>
      </c>
      <c r="J5" t="s">
        <v>392</v>
      </c>
      <c r="K5" t="s">
        <v>393</v>
      </c>
      <c r="L5">
        <v>26553684</v>
      </c>
      <c r="N5">
        <v>1013</v>
      </c>
      <c r="O5" t="s">
        <v>387</v>
      </c>
      <c r="P5" t="s">
        <v>387</v>
      </c>
      <c r="Q5">
        <v>1</v>
      </c>
      <c r="W5">
        <v>0</v>
      </c>
      <c r="X5">
        <v>206065422</v>
      </c>
      <c r="Y5">
        <v>1.98</v>
      </c>
      <c r="AA5">
        <v>0</v>
      </c>
      <c r="AB5">
        <v>8</v>
      </c>
      <c r="AC5">
        <v>0</v>
      </c>
      <c r="AD5">
        <v>0</v>
      </c>
      <c r="AE5">
        <v>0</v>
      </c>
      <c r="AF5">
        <v>8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1.98</v>
      </c>
      <c r="AU5" t="s">
        <v>3</v>
      </c>
      <c r="AV5">
        <v>0</v>
      </c>
      <c r="AW5">
        <v>2</v>
      </c>
      <c r="AX5">
        <v>39202241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2.97E-3</v>
      </c>
      <c r="CY5">
        <f>AB5</f>
        <v>8</v>
      </c>
      <c r="CZ5">
        <f>AF5</f>
        <v>8</v>
      </c>
      <c r="DA5">
        <f>AJ5</f>
        <v>1</v>
      </c>
      <c r="DB5">
        <f t="shared" si="0"/>
        <v>15.84</v>
      </c>
      <c r="DC5">
        <f t="shared" si="1"/>
        <v>0</v>
      </c>
    </row>
    <row r="6" spans="1:107" x14ac:dyDescent="0.2">
      <c r="A6">
        <f>ROW(Source!A33)</f>
        <v>33</v>
      </c>
      <c r="B6">
        <v>39201625</v>
      </c>
      <c r="C6">
        <v>39202242</v>
      </c>
      <c r="D6">
        <v>24225432</v>
      </c>
      <c r="E6">
        <v>1</v>
      </c>
      <c r="F6">
        <v>1</v>
      </c>
      <c r="G6">
        <v>1</v>
      </c>
      <c r="H6">
        <v>1</v>
      </c>
      <c r="I6" t="s">
        <v>394</v>
      </c>
      <c r="J6" t="s">
        <v>3</v>
      </c>
      <c r="K6" t="s">
        <v>395</v>
      </c>
      <c r="L6">
        <v>1476</v>
      </c>
      <c r="N6">
        <v>1013</v>
      </c>
      <c r="O6" t="s">
        <v>380</v>
      </c>
      <c r="P6" t="s">
        <v>381</v>
      </c>
      <c r="Q6">
        <v>1</v>
      </c>
      <c r="W6">
        <v>0</v>
      </c>
      <c r="X6">
        <v>1477335111</v>
      </c>
      <c r="Y6">
        <v>0.42</v>
      </c>
      <c r="AA6">
        <v>0</v>
      </c>
      <c r="AB6">
        <v>0</v>
      </c>
      <c r="AC6">
        <v>0</v>
      </c>
      <c r="AD6">
        <v>6.88</v>
      </c>
      <c r="AE6">
        <v>0</v>
      </c>
      <c r="AF6">
        <v>0</v>
      </c>
      <c r="AG6">
        <v>0</v>
      </c>
      <c r="AH6">
        <v>6.88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0.42</v>
      </c>
      <c r="AU6" t="s">
        <v>3</v>
      </c>
      <c r="AV6">
        <v>1</v>
      </c>
      <c r="AW6">
        <v>2</v>
      </c>
      <c r="AX6">
        <v>39202250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Y6*Source!I33</f>
        <v>3.8656380000000001</v>
      </c>
      <c r="CY6">
        <f>AD6</f>
        <v>6.88</v>
      </c>
      <c r="CZ6">
        <f>AH6</f>
        <v>6.88</v>
      </c>
      <c r="DA6">
        <f>AL6</f>
        <v>1</v>
      </c>
      <c r="DB6">
        <f t="shared" si="0"/>
        <v>2.89</v>
      </c>
      <c r="DC6">
        <f t="shared" si="1"/>
        <v>0</v>
      </c>
    </row>
    <row r="7" spans="1:107" x14ac:dyDescent="0.2">
      <c r="A7">
        <f>ROW(Source!A33)</f>
        <v>33</v>
      </c>
      <c r="B7">
        <v>39201625</v>
      </c>
      <c r="C7">
        <v>39202242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382</v>
      </c>
      <c r="L7">
        <v>608254</v>
      </c>
      <c r="N7">
        <v>1013</v>
      </c>
      <c r="O7" t="s">
        <v>383</v>
      </c>
      <c r="P7" t="s">
        <v>383</v>
      </c>
      <c r="Q7">
        <v>1</v>
      </c>
      <c r="W7">
        <v>0</v>
      </c>
      <c r="X7">
        <v>-185737400</v>
      </c>
      <c r="Y7">
        <v>0.91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0.91</v>
      </c>
      <c r="AU7" t="s">
        <v>3</v>
      </c>
      <c r="AV7">
        <v>2</v>
      </c>
      <c r="AW7">
        <v>2</v>
      </c>
      <c r="AX7">
        <v>39202251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Y7*Source!I33</f>
        <v>8.3755490000000012</v>
      </c>
      <c r="CY7">
        <f>AD7</f>
        <v>0</v>
      </c>
      <c r="CZ7">
        <f>AH7</f>
        <v>0</v>
      </c>
      <c r="DA7">
        <f>AL7</f>
        <v>1</v>
      </c>
      <c r="DB7">
        <f t="shared" si="0"/>
        <v>0</v>
      </c>
      <c r="DC7">
        <f t="shared" si="1"/>
        <v>0</v>
      </c>
    </row>
    <row r="8" spans="1:107" x14ac:dyDescent="0.2">
      <c r="A8">
        <f>ROW(Source!A33)</f>
        <v>33</v>
      </c>
      <c r="B8">
        <v>39201625</v>
      </c>
      <c r="C8">
        <v>39202242</v>
      </c>
      <c r="D8">
        <v>26554485</v>
      </c>
      <c r="E8">
        <v>1</v>
      </c>
      <c r="F8">
        <v>1</v>
      </c>
      <c r="G8">
        <v>1</v>
      </c>
      <c r="H8">
        <v>2</v>
      </c>
      <c r="I8" t="s">
        <v>396</v>
      </c>
      <c r="J8" t="s">
        <v>397</v>
      </c>
      <c r="K8" t="s">
        <v>398</v>
      </c>
      <c r="L8">
        <v>26553684</v>
      </c>
      <c r="N8">
        <v>1013</v>
      </c>
      <c r="O8" t="s">
        <v>387</v>
      </c>
      <c r="P8" t="s">
        <v>387</v>
      </c>
      <c r="Q8">
        <v>1</v>
      </c>
      <c r="W8">
        <v>0</v>
      </c>
      <c r="X8">
        <v>-55241852</v>
      </c>
      <c r="Y8">
        <v>0.44</v>
      </c>
      <c r="AA8">
        <v>0</v>
      </c>
      <c r="AB8">
        <v>86.28</v>
      </c>
      <c r="AC8">
        <v>11.38</v>
      </c>
      <c r="AD8">
        <v>0</v>
      </c>
      <c r="AE8">
        <v>0</v>
      </c>
      <c r="AF8">
        <v>86.28</v>
      </c>
      <c r="AG8">
        <v>11.38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0.44</v>
      </c>
      <c r="AU8" t="s">
        <v>3</v>
      </c>
      <c r="AV8">
        <v>0</v>
      </c>
      <c r="AW8">
        <v>2</v>
      </c>
      <c r="AX8">
        <v>39202252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Y8*Source!I33</f>
        <v>4.0497160000000001</v>
      </c>
      <c r="CY8">
        <f>AB8</f>
        <v>86.28</v>
      </c>
      <c r="CZ8">
        <f>AF8</f>
        <v>86.28</v>
      </c>
      <c r="DA8">
        <f>AJ8</f>
        <v>1</v>
      </c>
      <c r="DB8">
        <f t="shared" si="0"/>
        <v>37.96</v>
      </c>
      <c r="DC8">
        <f t="shared" si="1"/>
        <v>5.01</v>
      </c>
    </row>
    <row r="9" spans="1:107" x14ac:dyDescent="0.2">
      <c r="A9">
        <f>ROW(Source!A33)</f>
        <v>33</v>
      </c>
      <c r="B9">
        <v>39201625</v>
      </c>
      <c r="C9">
        <v>39202242</v>
      </c>
      <c r="D9">
        <v>26554486</v>
      </c>
      <c r="E9">
        <v>1</v>
      </c>
      <c r="F9">
        <v>1</v>
      </c>
      <c r="G9">
        <v>1</v>
      </c>
      <c r="H9">
        <v>2</v>
      </c>
      <c r="I9" t="s">
        <v>399</v>
      </c>
      <c r="J9" t="s">
        <v>400</v>
      </c>
      <c r="K9" t="s">
        <v>401</v>
      </c>
      <c r="L9">
        <v>26553684</v>
      </c>
      <c r="N9">
        <v>1013</v>
      </c>
      <c r="O9" t="s">
        <v>387</v>
      </c>
      <c r="P9" t="s">
        <v>387</v>
      </c>
      <c r="Q9">
        <v>1</v>
      </c>
      <c r="W9">
        <v>0</v>
      </c>
      <c r="X9">
        <v>-1654342457</v>
      </c>
      <c r="Y9">
        <v>0.03</v>
      </c>
      <c r="AA9">
        <v>0</v>
      </c>
      <c r="AB9">
        <v>110</v>
      </c>
      <c r="AC9">
        <v>11.38</v>
      </c>
      <c r="AD9">
        <v>0</v>
      </c>
      <c r="AE9">
        <v>0</v>
      </c>
      <c r="AF9">
        <v>110</v>
      </c>
      <c r="AG9">
        <v>11.38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0.03</v>
      </c>
      <c r="AU9" t="s">
        <v>3</v>
      </c>
      <c r="AV9">
        <v>0</v>
      </c>
      <c r="AW9">
        <v>2</v>
      </c>
      <c r="AX9">
        <v>39202253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Y9*Source!I33</f>
        <v>0.276117</v>
      </c>
      <c r="CY9">
        <f>AB9</f>
        <v>110</v>
      </c>
      <c r="CZ9">
        <f>AF9</f>
        <v>110</v>
      </c>
      <c r="DA9">
        <f>AJ9</f>
        <v>1</v>
      </c>
      <c r="DB9">
        <f t="shared" si="0"/>
        <v>3.3</v>
      </c>
      <c r="DC9">
        <f t="shared" si="1"/>
        <v>0.34</v>
      </c>
    </row>
    <row r="10" spans="1:107" x14ac:dyDescent="0.2">
      <c r="A10">
        <f>ROW(Source!A33)</f>
        <v>33</v>
      </c>
      <c r="B10">
        <v>39201625</v>
      </c>
      <c r="C10">
        <v>39202242</v>
      </c>
      <c r="D10">
        <v>26554539</v>
      </c>
      <c r="E10">
        <v>1</v>
      </c>
      <c r="F10">
        <v>1</v>
      </c>
      <c r="G10">
        <v>1</v>
      </c>
      <c r="H10">
        <v>2</v>
      </c>
      <c r="I10" t="s">
        <v>402</v>
      </c>
      <c r="J10" t="s">
        <v>403</v>
      </c>
      <c r="K10" t="s">
        <v>404</v>
      </c>
      <c r="L10">
        <v>26553684</v>
      </c>
      <c r="N10">
        <v>1013</v>
      </c>
      <c r="O10" t="s">
        <v>387</v>
      </c>
      <c r="P10" t="s">
        <v>387</v>
      </c>
      <c r="Q10">
        <v>1</v>
      </c>
      <c r="W10">
        <v>0</v>
      </c>
      <c r="X10">
        <v>1355220185</v>
      </c>
      <c r="Y10">
        <v>0.44</v>
      </c>
      <c r="AA10">
        <v>0</v>
      </c>
      <c r="AB10">
        <v>1411.2</v>
      </c>
      <c r="AC10">
        <v>13.26</v>
      </c>
      <c r="AD10">
        <v>0</v>
      </c>
      <c r="AE10">
        <v>0</v>
      </c>
      <c r="AF10">
        <v>1411.2</v>
      </c>
      <c r="AG10">
        <v>13.26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0.44</v>
      </c>
      <c r="AU10" t="s">
        <v>3</v>
      </c>
      <c r="AV10">
        <v>0</v>
      </c>
      <c r="AW10">
        <v>2</v>
      </c>
      <c r="AX10">
        <v>39202254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Y10*Source!I33</f>
        <v>4.0497160000000001</v>
      </c>
      <c r="CY10">
        <f>AB10</f>
        <v>1411.2</v>
      </c>
      <c r="CZ10">
        <f>AF10</f>
        <v>1411.2</v>
      </c>
      <c r="DA10">
        <f>AJ10</f>
        <v>1</v>
      </c>
      <c r="DB10">
        <f t="shared" si="0"/>
        <v>620.92999999999995</v>
      </c>
      <c r="DC10">
        <f t="shared" si="1"/>
        <v>5.83</v>
      </c>
    </row>
    <row r="11" spans="1:107" x14ac:dyDescent="0.2">
      <c r="A11">
        <f>ROW(Source!A33)</f>
        <v>33</v>
      </c>
      <c r="B11">
        <v>39201625</v>
      </c>
      <c r="C11">
        <v>39202242</v>
      </c>
      <c r="D11">
        <v>26555833</v>
      </c>
      <c r="E11">
        <v>1</v>
      </c>
      <c r="F11">
        <v>1</v>
      </c>
      <c r="G11">
        <v>1</v>
      </c>
      <c r="H11">
        <v>2</v>
      </c>
      <c r="I11" t="s">
        <v>405</v>
      </c>
      <c r="J11" t="s">
        <v>406</v>
      </c>
      <c r="K11" t="s">
        <v>407</v>
      </c>
      <c r="L11">
        <v>26553684</v>
      </c>
      <c r="N11">
        <v>1013</v>
      </c>
      <c r="O11" t="s">
        <v>387</v>
      </c>
      <c r="P11" t="s">
        <v>387</v>
      </c>
      <c r="Q11">
        <v>1</v>
      </c>
      <c r="W11">
        <v>0</v>
      </c>
      <c r="X11">
        <v>1869095696</v>
      </c>
      <c r="Y11">
        <v>0.35</v>
      </c>
      <c r="AA11">
        <v>0</v>
      </c>
      <c r="AB11">
        <v>137.72999999999999</v>
      </c>
      <c r="AC11">
        <v>0</v>
      </c>
      <c r="AD11">
        <v>0</v>
      </c>
      <c r="AE11">
        <v>0</v>
      </c>
      <c r="AF11">
        <v>137.72999999999999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0.35</v>
      </c>
      <c r="AU11" t="s">
        <v>3</v>
      </c>
      <c r="AV11">
        <v>0</v>
      </c>
      <c r="AW11">
        <v>2</v>
      </c>
      <c r="AX11">
        <v>39202255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Y11*Source!I33</f>
        <v>3.221365</v>
      </c>
      <c r="CY11">
        <f>AB11</f>
        <v>137.72999999999999</v>
      </c>
      <c r="CZ11">
        <f>AF11</f>
        <v>137.72999999999999</v>
      </c>
      <c r="DA11">
        <f>AJ11</f>
        <v>1</v>
      </c>
      <c r="DB11">
        <f t="shared" si="0"/>
        <v>48.21</v>
      </c>
      <c r="DC11">
        <f t="shared" si="1"/>
        <v>0</v>
      </c>
    </row>
    <row r="12" spans="1:107" x14ac:dyDescent="0.2">
      <c r="A12">
        <f>ROW(Source!A33)</f>
        <v>33</v>
      </c>
      <c r="B12">
        <v>39201625</v>
      </c>
      <c r="C12">
        <v>39202242</v>
      </c>
      <c r="D12">
        <v>26608102</v>
      </c>
      <c r="E12">
        <v>1</v>
      </c>
      <c r="F12">
        <v>1</v>
      </c>
      <c r="G12">
        <v>1</v>
      </c>
      <c r="H12">
        <v>3</v>
      </c>
      <c r="I12" t="s">
        <v>408</v>
      </c>
      <c r="J12" t="s">
        <v>409</v>
      </c>
      <c r="K12" t="s">
        <v>410</v>
      </c>
      <c r="L12">
        <v>1339</v>
      </c>
      <c r="N12">
        <v>1007</v>
      </c>
      <c r="O12" t="s">
        <v>130</v>
      </c>
      <c r="P12" t="s">
        <v>130</v>
      </c>
      <c r="Q12">
        <v>1</v>
      </c>
      <c r="W12">
        <v>0</v>
      </c>
      <c r="X12">
        <v>-1025641989</v>
      </c>
      <c r="Y12">
        <v>0.17499999999999999</v>
      </c>
      <c r="AA12">
        <v>2.2599999999999998</v>
      </c>
      <c r="AB12">
        <v>0</v>
      </c>
      <c r="AC12">
        <v>0</v>
      </c>
      <c r="AD12">
        <v>0</v>
      </c>
      <c r="AE12">
        <v>2.2599999999999998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0.17499999999999999</v>
      </c>
      <c r="AU12" t="s">
        <v>3</v>
      </c>
      <c r="AV12">
        <v>0</v>
      </c>
      <c r="AW12">
        <v>2</v>
      </c>
      <c r="AX12">
        <v>39202256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Y12*Source!I33</f>
        <v>1.6106825</v>
      </c>
      <c r="CY12">
        <f>AA12</f>
        <v>2.2599999999999998</v>
      </c>
      <c r="CZ12">
        <f>AE12</f>
        <v>2.2599999999999998</v>
      </c>
      <c r="DA12">
        <f>AI12</f>
        <v>1</v>
      </c>
      <c r="DB12">
        <f t="shared" si="0"/>
        <v>0.4</v>
      </c>
      <c r="DC12">
        <f t="shared" si="1"/>
        <v>0</v>
      </c>
    </row>
    <row r="13" spans="1:107" x14ac:dyDescent="0.2">
      <c r="A13">
        <f>ROW(Source!A34)</f>
        <v>34</v>
      </c>
      <c r="B13">
        <v>39201625</v>
      </c>
      <c r="C13">
        <v>39202257</v>
      </c>
      <c r="D13">
        <v>24225547</v>
      </c>
      <c r="E13">
        <v>1</v>
      </c>
      <c r="F13">
        <v>1</v>
      </c>
      <c r="G13">
        <v>1</v>
      </c>
      <c r="H13">
        <v>1</v>
      </c>
      <c r="I13" t="s">
        <v>411</v>
      </c>
      <c r="J13" t="s">
        <v>3</v>
      </c>
      <c r="K13" t="s">
        <v>412</v>
      </c>
      <c r="L13">
        <v>1476</v>
      </c>
      <c r="N13">
        <v>1013</v>
      </c>
      <c r="O13" t="s">
        <v>380</v>
      </c>
      <c r="P13" t="s">
        <v>381</v>
      </c>
      <c r="Q13">
        <v>1</v>
      </c>
      <c r="W13">
        <v>0</v>
      </c>
      <c r="X13">
        <v>-662630881</v>
      </c>
      <c r="Y13">
        <v>68.260000000000005</v>
      </c>
      <c r="AA13">
        <v>0</v>
      </c>
      <c r="AB13">
        <v>0</v>
      </c>
      <c r="AC13">
        <v>0</v>
      </c>
      <c r="AD13">
        <v>7.03</v>
      </c>
      <c r="AE13">
        <v>0</v>
      </c>
      <c r="AF13">
        <v>0</v>
      </c>
      <c r="AG13">
        <v>0</v>
      </c>
      <c r="AH13">
        <v>7.03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68.260000000000005</v>
      </c>
      <c r="AU13" t="s">
        <v>3</v>
      </c>
      <c r="AV13">
        <v>1</v>
      </c>
      <c r="AW13">
        <v>2</v>
      </c>
      <c r="AX13">
        <v>39202262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191.94712000000001</v>
      </c>
      <c r="CY13">
        <f>AD13</f>
        <v>7.03</v>
      </c>
      <c r="CZ13">
        <f>AH13</f>
        <v>7.03</v>
      </c>
      <c r="DA13">
        <f>AL13</f>
        <v>1</v>
      </c>
      <c r="DB13">
        <f t="shared" si="0"/>
        <v>479.87</v>
      </c>
      <c r="DC13">
        <f t="shared" si="1"/>
        <v>0</v>
      </c>
    </row>
    <row r="14" spans="1:107" x14ac:dyDescent="0.2">
      <c r="A14">
        <f>ROW(Source!A34)</f>
        <v>34</v>
      </c>
      <c r="B14">
        <v>39201625</v>
      </c>
      <c r="C14">
        <v>39202257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26</v>
      </c>
      <c r="J14" t="s">
        <v>3</v>
      </c>
      <c r="K14" t="s">
        <v>382</v>
      </c>
      <c r="L14">
        <v>608254</v>
      </c>
      <c r="N14">
        <v>1013</v>
      </c>
      <c r="O14" t="s">
        <v>383</v>
      </c>
      <c r="P14" t="s">
        <v>383</v>
      </c>
      <c r="Q14">
        <v>1</v>
      </c>
      <c r="W14">
        <v>0</v>
      </c>
      <c r="X14">
        <v>-185737400</v>
      </c>
      <c r="Y14">
        <v>9.4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9.4</v>
      </c>
      <c r="AU14" t="s">
        <v>3</v>
      </c>
      <c r="AV14">
        <v>2</v>
      </c>
      <c r="AW14">
        <v>2</v>
      </c>
      <c r="AX14">
        <v>39202263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26.4328</v>
      </c>
      <c r="CY14">
        <f>AD14</f>
        <v>0</v>
      </c>
      <c r="CZ14">
        <f>AH14</f>
        <v>0</v>
      </c>
      <c r="DA14">
        <f>AL14</f>
        <v>1</v>
      </c>
      <c r="DB14">
        <f t="shared" si="0"/>
        <v>0</v>
      </c>
      <c r="DC14">
        <f t="shared" si="1"/>
        <v>0</v>
      </c>
    </row>
    <row r="15" spans="1:107" x14ac:dyDescent="0.2">
      <c r="A15">
        <f>ROW(Source!A34)</f>
        <v>34</v>
      </c>
      <c r="B15">
        <v>39201625</v>
      </c>
      <c r="C15">
        <v>39202257</v>
      </c>
      <c r="D15">
        <v>26554068</v>
      </c>
      <c r="E15">
        <v>1</v>
      </c>
      <c r="F15">
        <v>1</v>
      </c>
      <c r="G15">
        <v>1</v>
      </c>
      <c r="H15">
        <v>2</v>
      </c>
      <c r="I15" t="s">
        <v>413</v>
      </c>
      <c r="J15" t="s">
        <v>414</v>
      </c>
      <c r="K15" t="s">
        <v>415</v>
      </c>
      <c r="L15">
        <v>26553684</v>
      </c>
      <c r="N15">
        <v>1013</v>
      </c>
      <c r="O15" t="s">
        <v>387</v>
      </c>
      <c r="P15" t="s">
        <v>387</v>
      </c>
      <c r="Q15">
        <v>1</v>
      </c>
      <c r="W15">
        <v>0</v>
      </c>
      <c r="X15">
        <v>-845897375</v>
      </c>
      <c r="Y15">
        <v>9.4</v>
      </c>
      <c r="AA15">
        <v>0</v>
      </c>
      <c r="AB15">
        <v>89.82</v>
      </c>
      <c r="AC15">
        <v>9.8800000000000008</v>
      </c>
      <c r="AD15">
        <v>0</v>
      </c>
      <c r="AE15">
        <v>0</v>
      </c>
      <c r="AF15">
        <v>89.82</v>
      </c>
      <c r="AG15">
        <v>9.8800000000000008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9.4</v>
      </c>
      <c r="AU15" t="s">
        <v>3</v>
      </c>
      <c r="AV15">
        <v>0</v>
      </c>
      <c r="AW15">
        <v>2</v>
      </c>
      <c r="AX15">
        <v>39202264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26.4328</v>
      </c>
      <c r="CY15">
        <f>AB15</f>
        <v>89.82</v>
      </c>
      <c r="CZ15">
        <f>AF15</f>
        <v>89.82</v>
      </c>
      <c r="DA15">
        <f>AJ15</f>
        <v>1</v>
      </c>
      <c r="DB15">
        <f t="shared" si="0"/>
        <v>844.31</v>
      </c>
      <c r="DC15">
        <f t="shared" si="1"/>
        <v>92.87</v>
      </c>
    </row>
    <row r="16" spans="1:107" x14ac:dyDescent="0.2">
      <c r="A16">
        <f>ROW(Source!A34)</f>
        <v>34</v>
      </c>
      <c r="B16">
        <v>39201625</v>
      </c>
      <c r="C16">
        <v>39202257</v>
      </c>
      <c r="D16">
        <v>26555456</v>
      </c>
      <c r="E16">
        <v>1</v>
      </c>
      <c r="F16">
        <v>1</v>
      </c>
      <c r="G16">
        <v>1</v>
      </c>
      <c r="H16">
        <v>2</v>
      </c>
      <c r="I16" t="s">
        <v>416</v>
      </c>
      <c r="J16" t="s">
        <v>417</v>
      </c>
      <c r="K16" t="s">
        <v>418</v>
      </c>
      <c r="L16">
        <v>26553684</v>
      </c>
      <c r="N16">
        <v>1013</v>
      </c>
      <c r="O16" t="s">
        <v>387</v>
      </c>
      <c r="P16" t="s">
        <v>387</v>
      </c>
      <c r="Q16">
        <v>1</v>
      </c>
      <c r="W16">
        <v>0</v>
      </c>
      <c r="X16">
        <v>652181876</v>
      </c>
      <c r="Y16">
        <v>28.2</v>
      </c>
      <c r="AA16">
        <v>0</v>
      </c>
      <c r="AB16">
        <v>1.53</v>
      </c>
      <c r="AC16">
        <v>0</v>
      </c>
      <c r="AD16">
        <v>0</v>
      </c>
      <c r="AE16">
        <v>0</v>
      </c>
      <c r="AF16">
        <v>1.53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28.2</v>
      </c>
      <c r="AU16" t="s">
        <v>3</v>
      </c>
      <c r="AV16">
        <v>0</v>
      </c>
      <c r="AW16">
        <v>2</v>
      </c>
      <c r="AX16">
        <v>39202265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79.298399999999987</v>
      </c>
      <c r="CY16">
        <f>AB16</f>
        <v>1.53</v>
      </c>
      <c r="CZ16">
        <f>AF16</f>
        <v>1.53</v>
      </c>
      <c r="DA16">
        <f>AJ16</f>
        <v>1</v>
      </c>
      <c r="DB16">
        <f t="shared" si="0"/>
        <v>43.15</v>
      </c>
      <c r="DC16">
        <f t="shared" si="1"/>
        <v>0</v>
      </c>
    </row>
    <row r="17" spans="1:107" x14ac:dyDescent="0.2">
      <c r="A17">
        <f>ROW(Source!A35)</f>
        <v>35</v>
      </c>
      <c r="B17">
        <v>39201625</v>
      </c>
      <c r="C17">
        <v>39202277</v>
      </c>
      <c r="D17">
        <v>24233608</v>
      </c>
      <c r="E17">
        <v>1</v>
      </c>
      <c r="F17">
        <v>1</v>
      </c>
      <c r="G17">
        <v>1</v>
      </c>
      <c r="H17">
        <v>1</v>
      </c>
      <c r="I17" t="s">
        <v>419</v>
      </c>
      <c r="J17" t="s">
        <v>3</v>
      </c>
      <c r="K17" t="s">
        <v>420</v>
      </c>
      <c r="L17">
        <v>1476</v>
      </c>
      <c r="N17">
        <v>1013</v>
      </c>
      <c r="O17" t="s">
        <v>380</v>
      </c>
      <c r="P17" t="s">
        <v>381</v>
      </c>
      <c r="Q17">
        <v>1</v>
      </c>
      <c r="W17">
        <v>0</v>
      </c>
      <c r="X17">
        <v>1809359306</v>
      </c>
      <c r="Y17">
        <v>7.3599999999999994</v>
      </c>
      <c r="AA17">
        <v>0</v>
      </c>
      <c r="AB17">
        <v>0</v>
      </c>
      <c r="AC17">
        <v>0</v>
      </c>
      <c r="AD17">
        <v>6.35</v>
      </c>
      <c r="AE17">
        <v>0</v>
      </c>
      <c r="AF17">
        <v>0</v>
      </c>
      <c r="AG17">
        <v>0</v>
      </c>
      <c r="AH17">
        <v>6.35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6.4</v>
      </c>
      <c r="AU17" t="s">
        <v>13</v>
      </c>
      <c r="AV17">
        <v>1</v>
      </c>
      <c r="AW17">
        <v>2</v>
      </c>
      <c r="AX17">
        <v>39202283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0.87142399999999998</v>
      </c>
      <c r="CY17">
        <f>AD17</f>
        <v>6.35</v>
      </c>
      <c r="CZ17">
        <f>AH17</f>
        <v>6.35</v>
      </c>
      <c r="DA17">
        <f>AL17</f>
        <v>1</v>
      </c>
      <c r="DB17">
        <f>ROUND((ROUND(AT17*CZ17,2)*1.15),2)</f>
        <v>46.74</v>
      </c>
      <c r="DC17">
        <f>ROUND((ROUND(AT17*AG17,2)*1.15),2)</f>
        <v>0</v>
      </c>
    </row>
    <row r="18" spans="1:107" x14ac:dyDescent="0.2">
      <c r="A18">
        <f>ROW(Source!A35)</f>
        <v>35</v>
      </c>
      <c r="B18">
        <v>39201625</v>
      </c>
      <c r="C18">
        <v>39202277</v>
      </c>
      <c r="D18">
        <v>121548</v>
      </c>
      <c r="E18">
        <v>1</v>
      </c>
      <c r="F18">
        <v>1</v>
      </c>
      <c r="G18">
        <v>1</v>
      </c>
      <c r="H18">
        <v>1</v>
      </c>
      <c r="I18" t="s">
        <v>26</v>
      </c>
      <c r="J18" t="s">
        <v>3</v>
      </c>
      <c r="K18" t="s">
        <v>382</v>
      </c>
      <c r="L18">
        <v>608254</v>
      </c>
      <c r="N18">
        <v>1013</v>
      </c>
      <c r="O18" t="s">
        <v>383</v>
      </c>
      <c r="P18" t="s">
        <v>383</v>
      </c>
      <c r="Q18">
        <v>1</v>
      </c>
      <c r="W18">
        <v>0</v>
      </c>
      <c r="X18">
        <v>-185737400</v>
      </c>
      <c r="Y18">
        <v>23.2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18.559999999999999</v>
      </c>
      <c r="AU18" t="s">
        <v>12</v>
      </c>
      <c r="AV18">
        <v>2</v>
      </c>
      <c r="AW18">
        <v>2</v>
      </c>
      <c r="AX18">
        <v>39202284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Y18*Source!I35</f>
        <v>2.74688</v>
      </c>
      <c r="CY18">
        <f>AD18</f>
        <v>0</v>
      </c>
      <c r="CZ18">
        <f>AH18</f>
        <v>0</v>
      </c>
      <c r="DA18">
        <f>AL18</f>
        <v>1</v>
      </c>
      <c r="DB18">
        <f>ROUND((ROUND(AT18*CZ18,2)*1.25),2)</f>
        <v>0</v>
      </c>
      <c r="DC18">
        <f>ROUND((ROUND(AT18*AG18,2)*1.25),2)</f>
        <v>0</v>
      </c>
    </row>
    <row r="19" spans="1:107" x14ac:dyDescent="0.2">
      <c r="A19">
        <f>ROW(Source!A35)</f>
        <v>35</v>
      </c>
      <c r="B19">
        <v>39201625</v>
      </c>
      <c r="C19">
        <v>39202277</v>
      </c>
      <c r="D19">
        <v>26554109</v>
      </c>
      <c r="E19">
        <v>1</v>
      </c>
      <c r="F19">
        <v>1</v>
      </c>
      <c r="G19">
        <v>1</v>
      </c>
      <c r="H19">
        <v>2</v>
      </c>
      <c r="I19" t="s">
        <v>421</v>
      </c>
      <c r="J19" t="s">
        <v>422</v>
      </c>
      <c r="K19" t="s">
        <v>423</v>
      </c>
      <c r="L19">
        <v>26553684</v>
      </c>
      <c r="N19">
        <v>1013</v>
      </c>
      <c r="O19" t="s">
        <v>387</v>
      </c>
      <c r="P19" t="s">
        <v>387</v>
      </c>
      <c r="Q19">
        <v>1</v>
      </c>
      <c r="W19">
        <v>0</v>
      </c>
      <c r="X19">
        <v>255345778</v>
      </c>
      <c r="Y19">
        <v>17.7</v>
      </c>
      <c r="AA19">
        <v>0</v>
      </c>
      <c r="AB19">
        <v>122.66</v>
      </c>
      <c r="AC19">
        <v>13.26</v>
      </c>
      <c r="AD19">
        <v>0</v>
      </c>
      <c r="AE19">
        <v>0</v>
      </c>
      <c r="AF19">
        <v>122.66</v>
      </c>
      <c r="AG19">
        <v>13.26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14.16</v>
      </c>
      <c r="AU19" t="s">
        <v>12</v>
      </c>
      <c r="AV19">
        <v>0</v>
      </c>
      <c r="AW19">
        <v>2</v>
      </c>
      <c r="AX19">
        <v>39202285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Y19*Source!I35</f>
        <v>2.0956800000000002</v>
      </c>
      <c r="CY19">
        <f>AB19</f>
        <v>122.66</v>
      </c>
      <c r="CZ19">
        <f>AF19</f>
        <v>122.66</v>
      </c>
      <c r="DA19">
        <f>AJ19</f>
        <v>1</v>
      </c>
      <c r="DB19">
        <f>ROUND((ROUND(AT19*CZ19,2)*1.25),2)</f>
        <v>2171.09</v>
      </c>
      <c r="DC19">
        <f>ROUND((ROUND(AT19*AG19,2)*1.25),2)</f>
        <v>234.7</v>
      </c>
    </row>
    <row r="20" spans="1:107" x14ac:dyDescent="0.2">
      <c r="A20">
        <f>ROW(Source!A35)</f>
        <v>35</v>
      </c>
      <c r="B20">
        <v>39201625</v>
      </c>
      <c r="C20">
        <v>39202277</v>
      </c>
      <c r="D20">
        <v>26554179</v>
      </c>
      <c r="E20">
        <v>1</v>
      </c>
      <c r="F20">
        <v>1</v>
      </c>
      <c r="G20">
        <v>1</v>
      </c>
      <c r="H20">
        <v>2</v>
      </c>
      <c r="I20" t="s">
        <v>388</v>
      </c>
      <c r="J20" t="s">
        <v>389</v>
      </c>
      <c r="K20" t="s">
        <v>390</v>
      </c>
      <c r="L20">
        <v>26553684</v>
      </c>
      <c r="N20">
        <v>1013</v>
      </c>
      <c r="O20" t="s">
        <v>387</v>
      </c>
      <c r="P20" t="s">
        <v>387</v>
      </c>
      <c r="Q20">
        <v>1</v>
      </c>
      <c r="W20">
        <v>0</v>
      </c>
      <c r="X20">
        <v>-1268920169</v>
      </c>
      <c r="Y20">
        <v>5.5</v>
      </c>
      <c r="AA20">
        <v>0</v>
      </c>
      <c r="AB20">
        <v>79.75</v>
      </c>
      <c r="AC20">
        <v>13.26</v>
      </c>
      <c r="AD20">
        <v>0</v>
      </c>
      <c r="AE20">
        <v>0</v>
      </c>
      <c r="AF20">
        <v>79.75</v>
      </c>
      <c r="AG20">
        <v>13.26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4.4000000000000004</v>
      </c>
      <c r="AU20" t="s">
        <v>12</v>
      </c>
      <c r="AV20">
        <v>0</v>
      </c>
      <c r="AW20">
        <v>2</v>
      </c>
      <c r="AX20">
        <v>39202286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Y20*Source!I35</f>
        <v>0.6512</v>
      </c>
      <c r="CY20">
        <f>AB20</f>
        <v>79.75</v>
      </c>
      <c r="CZ20">
        <f>AF20</f>
        <v>79.75</v>
      </c>
      <c r="DA20">
        <f>AJ20</f>
        <v>1</v>
      </c>
      <c r="DB20">
        <f>ROUND((ROUND(AT20*CZ20,2)*1.25),2)</f>
        <v>438.63</v>
      </c>
      <c r="DC20">
        <f>ROUND((ROUND(AT20*AG20,2)*1.25),2)</f>
        <v>72.930000000000007</v>
      </c>
    </row>
    <row r="21" spans="1:107" x14ac:dyDescent="0.2">
      <c r="A21">
        <f>ROW(Source!A35)</f>
        <v>35</v>
      </c>
      <c r="B21">
        <v>39201625</v>
      </c>
      <c r="C21">
        <v>39202277</v>
      </c>
      <c r="D21">
        <v>26607555</v>
      </c>
      <c r="E21">
        <v>1</v>
      </c>
      <c r="F21">
        <v>1</v>
      </c>
      <c r="G21">
        <v>1</v>
      </c>
      <c r="H21">
        <v>3</v>
      </c>
      <c r="I21" t="s">
        <v>424</v>
      </c>
      <c r="J21" t="s">
        <v>425</v>
      </c>
      <c r="K21" t="s">
        <v>426</v>
      </c>
      <c r="L21">
        <v>1339</v>
      </c>
      <c r="N21">
        <v>1007</v>
      </c>
      <c r="O21" t="s">
        <v>130</v>
      </c>
      <c r="P21" t="s">
        <v>130</v>
      </c>
      <c r="Q21">
        <v>1</v>
      </c>
      <c r="W21">
        <v>0</v>
      </c>
      <c r="X21">
        <v>-1334857364</v>
      </c>
      <c r="Y21">
        <v>0.03</v>
      </c>
      <c r="AA21">
        <v>121.11</v>
      </c>
      <c r="AB21">
        <v>0</v>
      </c>
      <c r="AC21">
        <v>0</v>
      </c>
      <c r="AD21">
        <v>0</v>
      </c>
      <c r="AE21">
        <v>121.11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0.03</v>
      </c>
      <c r="AU21" t="s">
        <v>3</v>
      </c>
      <c r="AV21">
        <v>0</v>
      </c>
      <c r="AW21">
        <v>2</v>
      </c>
      <c r="AX21">
        <v>39202287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3.552E-3</v>
      </c>
      <c r="CY21">
        <f>AA21</f>
        <v>121.11</v>
      </c>
      <c r="CZ21">
        <f>AE21</f>
        <v>121.11</v>
      </c>
      <c r="DA21">
        <f>AI21</f>
        <v>1</v>
      </c>
      <c r="DB21">
        <f>ROUND(ROUND(AT21*CZ21,2),2)</f>
        <v>3.63</v>
      </c>
      <c r="DC21">
        <f>ROUND(ROUND(AT21*AG21,2),2)</f>
        <v>0</v>
      </c>
    </row>
    <row r="22" spans="1:107" x14ac:dyDescent="0.2">
      <c r="A22">
        <f>ROW(Source!A108)</f>
        <v>108</v>
      </c>
      <c r="B22">
        <v>39201625</v>
      </c>
      <c r="C22">
        <v>39202291</v>
      </c>
      <c r="D22">
        <v>24233700</v>
      </c>
      <c r="E22">
        <v>1</v>
      </c>
      <c r="F22">
        <v>1</v>
      </c>
      <c r="G22">
        <v>1</v>
      </c>
      <c r="H22">
        <v>1</v>
      </c>
      <c r="I22" t="s">
        <v>427</v>
      </c>
      <c r="J22" t="s">
        <v>3</v>
      </c>
      <c r="K22" t="s">
        <v>428</v>
      </c>
      <c r="L22">
        <v>1476</v>
      </c>
      <c r="N22">
        <v>1013</v>
      </c>
      <c r="O22" t="s">
        <v>380</v>
      </c>
      <c r="P22" t="s">
        <v>381</v>
      </c>
      <c r="Q22">
        <v>1</v>
      </c>
      <c r="W22">
        <v>0</v>
      </c>
      <c r="X22">
        <v>-1013341582</v>
      </c>
      <c r="Y22">
        <v>18.077999999999999</v>
      </c>
      <c r="AA22">
        <v>0</v>
      </c>
      <c r="AB22">
        <v>0</v>
      </c>
      <c r="AC22">
        <v>0</v>
      </c>
      <c r="AD22">
        <v>6.52</v>
      </c>
      <c r="AE22">
        <v>0</v>
      </c>
      <c r="AF22">
        <v>0</v>
      </c>
      <c r="AG22">
        <v>0</v>
      </c>
      <c r="AH22">
        <v>6.52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15.72</v>
      </c>
      <c r="AU22" t="s">
        <v>13</v>
      </c>
      <c r="AV22">
        <v>1</v>
      </c>
      <c r="AW22">
        <v>2</v>
      </c>
      <c r="AX22">
        <v>39202300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Y22*Source!I108</f>
        <v>3.1130315999999998</v>
      </c>
      <c r="CY22">
        <f>AD22</f>
        <v>6.52</v>
      </c>
      <c r="CZ22">
        <f>AH22</f>
        <v>6.52</v>
      </c>
      <c r="DA22">
        <f>AL22</f>
        <v>1</v>
      </c>
      <c r="DB22">
        <f>ROUND((ROUND(AT22*CZ22,2)*1.15),2)</f>
        <v>117.86</v>
      </c>
      <c r="DC22">
        <f>ROUND((ROUND(AT22*AG22,2)*1.15),2)</f>
        <v>0</v>
      </c>
    </row>
    <row r="23" spans="1:107" x14ac:dyDescent="0.2">
      <c r="A23">
        <f>ROW(Source!A108)</f>
        <v>108</v>
      </c>
      <c r="B23">
        <v>39201625</v>
      </c>
      <c r="C23">
        <v>39202291</v>
      </c>
      <c r="D23">
        <v>121548</v>
      </c>
      <c r="E23">
        <v>1</v>
      </c>
      <c r="F23">
        <v>1</v>
      </c>
      <c r="G23">
        <v>1</v>
      </c>
      <c r="H23">
        <v>1</v>
      </c>
      <c r="I23" t="s">
        <v>26</v>
      </c>
      <c r="J23" t="s">
        <v>3</v>
      </c>
      <c r="K23" t="s">
        <v>382</v>
      </c>
      <c r="L23">
        <v>608254</v>
      </c>
      <c r="N23">
        <v>1013</v>
      </c>
      <c r="O23" t="s">
        <v>383</v>
      </c>
      <c r="P23" t="s">
        <v>383</v>
      </c>
      <c r="Q23">
        <v>1</v>
      </c>
      <c r="W23">
        <v>0</v>
      </c>
      <c r="X23">
        <v>-185737400</v>
      </c>
      <c r="Y23">
        <v>17.350000000000001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13.88</v>
      </c>
      <c r="AU23" t="s">
        <v>12</v>
      </c>
      <c r="AV23">
        <v>2</v>
      </c>
      <c r="AW23">
        <v>2</v>
      </c>
      <c r="AX23">
        <v>39202301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Y23*Source!I108</f>
        <v>2.98767</v>
      </c>
      <c r="CY23">
        <f>AD23</f>
        <v>0</v>
      </c>
      <c r="CZ23">
        <f>AH23</f>
        <v>0</v>
      </c>
      <c r="DA23">
        <f>AL23</f>
        <v>1</v>
      </c>
      <c r="DB23">
        <f>ROUND((ROUND(AT23*CZ23,2)*1.25),2)</f>
        <v>0</v>
      </c>
      <c r="DC23">
        <f>ROUND((ROUND(AT23*AG23,2)*1.25),2)</f>
        <v>0</v>
      </c>
    </row>
    <row r="24" spans="1:107" x14ac:dyDescent="0.2">
      <c r="A24">
        <f>ROW(Source!A108)</f>
        <v>108</v>
      </c>
      <c r="B24">
        <v>39201625</v>
      </c>
      <c r="C24">
        <v>39202291</v>
      </c>
      <c r="D24">
        <v>26553886</v>
      </c>
      <c r="E24">
        <v>1</v>
      </c>
      <c r="F24">
        <v>1</v>
      </c>
      <c r="G24">
        <v>1</v>
      </c>
      <c r="H24">
        <v>2</v>
      </c>
      <c r="I24" t="s">
        <v>429</v>
      </c>
      <c r="J24" t="s">
        <v>430</v>
      </c>
      <c r="K24" t="s">
        <v>431</v>
      </c>
      <c r="L24">
        <v>26553684</v>
      </c>
      <c r="N24">
        <v>1013</v>
      </c>
      <c r="O24" t="s">
        <v>387</v>
      </c>
      <c r="P24" t="s">
        <v>387</v>
      </c>
      <c r="Q24">
        <v>1</v>
      </c>
      <c r="W24">
        <v>0</v>
      </c>
      <c r="X24">
        <v>-1120646225</v>
      </c>
      <c r="Y24">
        <v>5.3624999999999998</v>
      </c>
      <c r="AA24">
        <v>0</v>
      </c>
      <c r="AB24">
        <v>89.81</v>
      </c>
      <c r="AC24">
        <v>9.8800000000000008</v>
      </c>
      <c r="AD24">
        <v>0</v>
      </c>
      <c r="AE24">
        <v>0</v>
      </c>
      <c r="AF24">
        <v>89.81</v>
      </c>
      <c r="AG24">
        <v>9.8800000000000008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4.29</v>
      </c>
      <c r="AU24" t="s">
        <v>12</v>
      </c>
      <c r="AV24">
        <v>0</v>
      </c>
      <c r="AW24">
        <v>2</v>
      </c>
      <c r="AX24">
        <v>39202302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Y24*Source!I108</f>
        <v>0.92342249999999992</v>
      </c>
      <c r="CY24">
        <f>AB24</f>
        <v>89.81</v>
      </c>
      <c r="CZ24">
        <f>AF24</f>
        <v>89.81</v>
      </c>
      <c r="DA24">
        <f>AJ24</f>
        <v>1</v>
      </c>
      <c r="DB24">
        <f>ROUND((ROUND(AT24*CZ24,2)*1.25),2)</f>
        <v>481.6</v>
      </c>
      <c r="DC24">
        <f>ROUND((ROUND(AT24*AG24,2)*1.25),2)</f>
        <v>52.99</v>
      </c>
    </row>
    <row r="25" spans="1:107" x14ac:dyDescent="0.2">
      <c r="A25">
        <f>ROW(Source!A108)</f>
        <v>108</v>
      </c>
      <c r="B25">
        <v>39201625</v>
      </c>
      <c r="C25">
        <v>39202291</v>
      </c>
      <c r="D25">
        <v>26554394</v>
      </c>
      <c r="E25">
        <v>1</v>
      </c>
      <c r="F25">
        <v>1</v>
      </c>
      <c r="G25">
        <v>1</v>
      </c>
      <c r="H25">
        <v>2</v>
      </c>
      <c r="I25" t="s">
        <v>432</v>
      </c>
      <c r="J25" t="s">
        <v>433</v>
      </c>
      <c r="K25" t="s">
        <v>434</v>
      </c>
      <c r="L25">
        <v>26553684</v>
      </c>
      <c r="N25">
        <v>1013</v>
      </c>
      <c r="O25" t="s">
        <v>387</v>
      </c>
      <c r="P25" t="s">
        <v>387</v>
      </c>
      <c r="Q25">
        <v>1</v>
      </c>
      <c r="W25">
        <v>0</v>
      </c>
      <c r="X25">
        <v>-1665323131</v>
      </c>
      <c r="Y25">
        <v>2.2124999999999999</v>
      </c>
      <c r="AA25">
        <v>0</v>
      </c>
      <c r="AB25">
        <v>122.76</v>
      </c>
      <c r="AC25">
        <v>13.26</v>
      </c>
      <c r="AD25">
        <v>0</v>
      </c>
      <c r="AE25">
        <v>0</v>
      </c>
      <c r="AF25">
        <v>122.76</v>
      </c>
      <c r="AG25">
        <v>13.26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1.77</v>
      </c>
      <c r="AU25" t="s">
        <v>12</v>
      </c>
      <c r="AV25">
        <v>0</v>
      </c>
      <c r="AW25">
        <v>2</v>
      </c>
      <c r="AX25">
        <v>39202303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Y25*Source!I108</f>
        <v>0.38099249999999996</v>
      </c>
      <c r="CY25">
        <f>AB25</f>
        <v>122.76</v>
      </c>
      <c r="CZ25">
        <f>AF25</f>
        <v>122.76</v>
      </c>
      <c r="DA25">
        <f>AJ25</f>
        <v>1</v>
      </c>
      <c r="DB25">
        <f>ROUND((ROUND(AT25*CZ25,2)*1.25),2)</f>
        <v>271.61</v>
      </c>
      <c r="DC25">
        <f>ROUND((ROUND(AT25*AG25,2)*1.25),2)</f>
        <v>29.34</v>
      </c>
    </row>
    <row r="26" spans="1:107" x14ac:dyDescent="0.2">
      <c r="A26">
        <f>ROW(Source!A108)</f>
        <v>108</v>
      </c>
      <c r="B26">
        <v>39201625</v>
      </c>
      <c r="C26">
        <v>39202291</v>
      </c>
      <c r="D26">
        <v>26554425</v>
      </c>
      <c r="E26">
        <v>1</v>
      </c>
      <c r="F26">
        <v>1</v>
      </c>
      <c r="G26">
        <v>1</v>
      </c>
      <c r="H26">
        <v>2</v>
      </c>
      <c r="I26" t="s">
        <v>435</v>
      </c>
      <c r="J26" t="s">
        <v>436</v>
      </c>
      <c r="K26" t="s">
        <v>437</v>
      </c>
      <c r="L26">
        <v>26553684</v>
      </c>
      <c r="N26">
        <v>1013</v>
      </c>
      <c r="O26" t="s">
        <v>387</v>
      </c>
      <c r="P26" t="s">
        <v>387</v>
      </c>
      <c r="Q26">
        <v>1</v>
      </c>
      <c r="W26">
        <v>0</v>
      </c>
      <c r="X26">
        <v>1425837406</v>
      </c>
      <c r="Y26">
        <v>8.85</v>
      </c>
      <c r="AA26">
        <v>0</v>
      </c>
      <c r="AB26">
        <v>205.75</v>
      </c>
      <c r="AC26">
        <v>14.14</v>
      </c>
      <c r="AD26">
        <v>0</v>
      </c>
      <c r="AE26">
        <v>0</v>
      </c>
      <c r="AF26">
        <v>205.75</v>
      </c>
      <c r="AG26">
        <v>14.14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7.08</v>
      </c>
      <c r="AU26" t="s">
        <v>12</v>
      </c>
      <c r="AV26">
        <v>0</v>
      </c>
      <c r="AW26">
        <v>2</v>
      </c>
      <c r="AX26">
        <v>39202304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Y26*Source!I108</f>
        <v>1.5239699999999998</v>
      </c>
      <c r="CY26">
        <f>AB26</f>
        <v>205.75</v>
      </c>
      <c r="CZ26">
        <f>AF26</f>
        <v>205.75</v>
      </c>
      <c r="DA26">
        <f>AJ26</f>
        <v>1</v>
      </c>
      <c r="DB26">
        <f>ROUND((ROUND(AT26*CZ26,2)*1.25),2)</f>
        <v>1820.89</v>
      </c>
      <c r="DC26">
        <f>ROUND((ROUND(AT26*AG26,2)*1.25),2)</f>
        <v>125.14</v>
      </c>
    </row>
    <row r="27" spans="1:107" x14ac:dyDescent="0.2">
      <c r="A27">
        <f>ROW(Source!A108)</f>
        <v>108</v>
      </c>
      <c r="B27">
        <v>39201625</v>
      </c>
      <c r="C27">
        <v>39202291</v>
      </c>
      <c r="D27">
        <v>26554486</v>
      </c>
      <c r="E27">
        <v>1</v>
      </c>
      <c r="F27">
        <v>1</v>
      </c>
      <c r="G27">
        <v>1</v>
      </c>
      <c r="H27">
        <v>2</v>
      </c>
      <c r="I27" t="s">
        <v>399</v>
      </c>
      <c r="J27" t="s">
        <v>400</v>
      </c>
      <c r="K27" t="s">
        <v>401</v>
      </c>
      <c r="L27">
        <v>26553684</v>
      </c>
      <c r="N27">
        <v>1013</v>
      </c>
      <c r="O27" t="s">
        <v>387</v>
      </c>
      <c r="P27" t="s">
        <v>387</v>
      </c>
      <c r="Q27">
        <v>1</v>
      </c>
      <c r="W27">
        <v>0</v>
      </c>
      <c r="X27">
        <v>-1654342457</v>
      </c>
      <c r="Y27">
        <v>0.92500000000000004</v>
      </c>
      <c r="AA27">
        <v>0</v>
      </c>
      <c r="AB27">
        <v>110</v>
      </c>
      <c r="AC27">
        <v>11.38</v>
      </c>
      <c r="AD27">
        <v>0</v>
      </c>
      <c r="AE27">
        <v>0</v>
      </c>
      <c r="AF27">
        <v>110</v>
      </c>
      <c r="AG27">
        <v>11.38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0.74</v>
      </c>
      <c r="AU27" t="s">
        <v>12</v>
      </c>
      <c r="AV27">
        <v>0</v>
      </c>
      <c r="AW27">
        <v>2</v>
      </c>
      <c r="AX27">
        <v>39202305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Y27*Source!I108</f>
        <v>0.15928500000000001</v>
      </c>
      <c r="CY27">
        <f>AB27</f>
        <v>110</v>
      </c>
      <c r="CZ27">
        <f>AF27</f>
        <v>110</v>
      </c>
      <c r="DA27">
        <f>AJ27</f>
        <v>1</v>
      </c>
      <c r="DB27">
        <f>ROUND((ROUND(AT27*CZ27,2)*1.25),2)</f>
        <v>101.75</v>
      </c>
      <c r="DC27">
        <f>ROUND((ROUND(AT27*AG27,2)*1.25),2)</f>
        <v>10.53</v>
      </c>
    </row>
    <row r="28" spans="1:107" x14ac:dyDescent="0.2">
      <c r="A28">
        <f>ROW(Source!A108)</f>
        <v>108</v>
      </c>
      <c r="B28">
        <v>39201625</v>
      </c>
      <c r="C28">
        <v>39202291</v>
      </c>
      <c r="D28">
        <v>26607647</v>
      </c>
      <c r="E28">
        <v>1</v>
      </c>
      <c r="F28">
        <v>1</v>
      </c>
      <c r="G28">
        <v>1</v>
      </c>
      <c r="H28">
        <v>3</v>
      </c>
      <c r="I28" t="s">
        <v>128</v>
      </c>
      <c r="J28" t="s">
        <v>131</v>
      </c>
      <c r="K28" t="s">
        <v>129</v>
      </c>
      <c r="L28">
        <v>1339</v>
      </c>
      <c r="N28">
        <v>1007</v>
      </c>
      <c r="O28" t="s">
        <v>130</v>
      </c>
      <c r="P28" t="s">
        <v>130</v>
      </c>
      <c r="Q28">
        <v>1</v>
      </c>
      <c r="W28">
        <v>0</v>
      </c>
      <c r="X28">
        <v>-215471597</v>
      </c>
      <c r="Y28">
        <v>110</v>
      </c>
      <c r="AA28">
        <v>51.17</v>
      </c>
      <c r="AB28">
        <v>0</v>
      </c>
      <c r="AC28">
        <v>0</v>
      </c>
      <c r="AD28">
        <v>0</v>
      </c>
      <c r="AE28">
        <v>51.17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1</v>
      </c>
      <c r="AO28">
        <v>0</v>
      </c>
      <c r="AP28">
        <v>0</v>
      </c>
      <c r="AQ28">
        <v>0</v>
      </c>
      <c r="AR28">
        <v>0</v>
      </c>
      <c r="AS28" t="s">
        <v>3</v>
      </c>
      <c r="AT28">
        <v>110</v>
      </c>
      <c r="AU28" t="s">
        <v>3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Y28*Source!I108</f>
        <v>18.942</v>
      </c>
      <c r="CY28">
        <f>AA28</f>
        <v>51.17</v>
      </c>
      <c r="CZ28">
        <f>AE28</f>
        <v>51.17</v>
      </c>
      <c r="DA28">
        <f>AI28</f>
        <v>1</v>
      </c>
      <c r="DB28">
        <f>ROUND(ROUND(AT28*CZ28,2),2)</f>
        <v>5628.7</v>
      </c>
      <c r="DC28">
        <f>ROUND(ROUND(AT28*AG28,2),2)</f>
        <v>0</v>
      </c>
    </row>
    <row r="29" spans="1:107" x14ac:dyDescent="0.2">
      <c r="A29">
        <f>ROW(Source!A108)</f>
        <v>108</v>
      </c>
      <c r="B29">
        <v>39201625</v>
      </c>
      <c r="C29">
        <v>39202291</v>
      </c>
      <c r="D29">
        <v>26608102</v>
      </c>
      <c r="E29">
        <v>1</v>
      </c>
      <c r="F29">
        <v>1</v>
      </c>
      <c r="G29">
        <v>1</v>
      </c>
      <c r="H29">
        <v>3</v>
      </c>
      <c r="I29" t="s">
        <v>408</v>
      </c>
      <c r="J29" t="s">
        <v>409</v>
      </c>
      <c r="K29" t="s">
        <v>410</v>
      </c>
      <c r="L29">
        <v>1339</v>
      </c>
      <c r="N29">
        <v>1007</v>
      </c>
      <c r="O29" t="s">
        <v>130</v>
      </c>
      <c r="P29" t="s">
        <v>130</v>
      </c>
      <c r="Q29">
        <v>1</v>
      </c>
      <c r="W29">
        <v>0</v>
      </c>
      <c r="X29">
        <v>-1025641989</v>
      </c>
      <c r="Y29">
        <v>5</v>
      </c>
      <c r="AA29">
        <v>2.2599999999999998</v>
      </c>
      <c r="AB29">
        <v>0</v>
      </c>
      <c r="AC29">
        <v>0</v>
      </c>
      <c r="AD29">
        <v>0</v>
      </c>
      <c r="AE29">
        <v>2.2599999999999998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5</v>
      </c>
      <c r="AU29" t="s">
        <v>3</v>
      </c>
      <c r="AV29">
        <v>0</v>
      </c>
      <c r="AW29">
        <v>2</v>
      </c>
      <c r="AX29">
        <v>39202307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Y29*Source!I108</f>
        <v>0.86099999999999999</v>
      </c>
      <c r="CY29">
        <f>AA29</f>
        <v>2.2599999999999998</v>
      </c>
      <c r="CZ29">
        <f>AE29</f>
        <v>2.2599999999999998</v>
      </c>
      <c r="DA29">
        <f>AI29</f>
        <v>1</v>
      </c>
      <c r="DB29">
        <f>ROUND(ROUND(AT29*CZ29,2),2)</f>
        <v>11.3</v>
      </c>
      <c r="DC29">
        <f>ROUND(ROUND(AT29*AG29,2),2)</f>
        <v>0</v>
      </c>
    </row>
    <row r="30" spans="1:107" x14ac:dyDescent="0.2">
      <c r="A30">
        <f>ROW(Source!A110)</f>
        <v>110</v>
      </c>
      <c r="B30">
        <v>39201625</v>
      </c>
      <c r="C30">
        <v>39202309</v>
      </c>
      <c r="D30">
        <v>24233887</v>
      </c>
      <c r="E30">
        <v>1</v>
      </c>
      <c r="F30">
        <v>1</v>
      </c>
      <c r="G30">
        <v>1</v>
      </c>
      <c r="H30">
        <v>1</v>
      </c>
      <c r="I30" t="s">
        <v>378</v>
      </c>
      <c r="J30" t="s">
        <v>3</v>
      </c>
      <c r="K30" t="s">
        <v>379</v>
      </c>
      <c r="L30">
        <v>1476</v>
      </c>
      <c r="N30">
        <v>1013</v>
      </c>
      <c r="O30" t="s">
        <v>380</v>
      </c>
      <c r="P30" t="s">
        <v>381</v>
      </c>
      <c r="Q30">
        <v>1</v>
      </c>
      <c r="W30">
        <v>0</v>
      </c>
      <c r="X30">
        <v>2017347174</v>
      </c>
      <c r="Y30">
        <v>27.8185</v>
      </c>
      <c r="AA30">
        <v>0</v>
      </c>
      <c r="AB30">
        <v>0</v>
      </c>
      <c r="AC30">
        <v>0</v>
      </c>
      <c r="AD30">
        <v>6.58</v>
      </c>
      <c r="AE30">
        <v>0</v>
      </c>
      <c r="AF30">
        <v>0</v>
      </c>
      <c r="AG30">
        <v>0</v>
      </c>
      <c r="AH30">
        <v>6.58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24.19</v>
      </c>
      <c r="AU30" t="s">
        <v>13</v>
      </c>
      <c r="AV30">
        <v>1</v>
      </c>
      <c r="AW30">
        <v>2</v>
      </c>
      <c r="AX30">
        <v>39202322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Y30*Source!I110</f>
        <v>15.3613757</v>
      </c>
      <c r="CY30">
        <f>AD30</f>
        <v>6.58</v>
      </c>
      <c r="CZ30">
        <f>AH30</f>
        <v>6.58</v>
      </c>
      <c r="DA30">
        <f>AL30</f>
        <v>1</v>
      </c>
      <c r="DB30">
        <f>ROUND((ROUND(AT30*CZ30,2)*1.15),2)</f>
        <v>183.05</v>
      </c>
      <c r="DC30">
        <f>ROUND((ROUND(AT30*AG30,2)*1.15),2)</f>
        <v>0</v>
      </c>
    </row>
    <row r="31" spans="1:107" x14ac:dyDescent="0.2">
      <c r="A31">
        <f>ROW(Source!A110)</f>
        <v>110</v>
      </c>
      <c r="B31">
        <v>39201625</v>
      </c>
      <c r="C31">
        <v>39202309</v>
      </c>
      <c r="D31">
        <v>121548</v>
      </c>
      <c r="E31">
        <v>1</v>
      </c>
      <c r="F31">
        <v>1</v>
      </c>
      <c r="G31">
        <v>1</v>
      </c>
      <c r="H31">
        <v>1</v>
      </c>
      <c r="I31" t="s">
        <v>26</v>
      </c>
      <c r="J31" t="s">
        <v>3</v>
      </c>
      <c r="K31" t="s">
        <v>382</v>
      </c>
      <c r="L31">
        <v>608254</v>
      </c>
      <c r="N31">
        <v>1013</v>
      </c>
      <c r="O31" t="s">
        <v>383</v>
      </c>
      <c r="P31" t="s">
        <v>383</v>
      </c>
      <c r="Q31">
        <v>1</v>
      </c>
      <c r="W31">
        <v>0</v>
      </c>
      <c r="X31">
        <v>-185737400</v>
      </c>
      <c r="Y31">
        <v>25.75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20.6</v>
      </c>
      <c r="AU31" t="s">
        <v>12</v>
      </c>
      <c r="AV31">
        <v>2</v>
      </c>
      <c r="AW31">
        <v>2</v>
      </c>
      <c r="AX31">
        <v>39202323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Y31*Source!I110</f>
        <v>14.219150000000001</v>
      </c>
      <c r="CY31">
        <f>AD31</f>
        <v>0</v>
      </c>
      <c r="CZ31">
        <f>AH31</f>
        <v>0</v>
      </c>
      <c r="DA31">
        <f>AL31</f>
        <v>1</v>
      </c>
      <c r="DB31">
        <f t="shared" ref="DB31:DB36" si="2">ROUND((ROUND(AT31*CZ31,2)*1.25),2)</f>
        <v>0</v>
      </c>
      <c r="DC31">
        <f t="shared" ref="DC31:DC36" si="3">ROUND((ROUND(AT31*AG31,2)*1.25),2)</f>
        <v>0</v>
      </c>
    </row>
    <row r="32" spans="1:107" x14ac:dyDescent="0.2">
      <c r="A32">
        <f>ROW(Source!A110)</f>
        <v>110</v>
      </c>
      <c r="B32">
        <v>39201625</v>
      </c>
      <c r="C32">
        <v>39202309</v>
      </c>
      <c r="D32">
        <v>26553886</v>
      </c>
      <c r="E32">
        <v>1</v>
      </c>
      <c r="F32">
        <v>1</v>
      </c>
      <c r="G32">
        <v>1</v>
      </c>
      <c r="H32">
        <v>2</v>
      </c>
      <c r="I32" t="s">
        <v>429</v>
      </c>
      <c r="J32" t="s">
        <v>430</v>
      </c>
      <c r="K32" t="s">
        <v>431</v>
      </c>
      <c r="L32">
        <v>26553684</v>
      </c>
      <c r="N32">
        <v>1013</v>
      </c>
      <c r="O32" t="s">
        <v>387</v>
      </c>
      <c r="P32" t="s">
        <v>387</v>
      </c>
      <c r="Q32">
        <v>1</v>
      </c>
      <c r="W32">
        <v>0</v>
      </c>
      <c r="X32">
        <v>-1120646225</v>
      </c>
      <c r="Y32">
        <v>3.0750000000000002</v>
      </c>
      <c r="AA32">
        <v>0</v>
      </c>
      <c r="AB32">
        <v>89.81</v>
      </c>
      <c r="AC32">
        <v>9.8800000000000008</v>
      </c>
      <c r="AD32">
        <v>0</v>
      </c>
      <c r="AE32">
        <v>0</v>
      </c>
      <c r="AF32">
        <v>89.81</v>
      </c>
      <c r="AG32">
        <v>9.8800000000000008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2.46</v>
      </c>
      <c r="AU32" t="s">
        <v>12</v>
      </c>
      <c r="AV32">
        <v>0</v>
      </c>
      <c r="AW32">
        <v>2</v>
      </c>
      <c r="AX32">
        <v>39202324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Y32*Source!I110</f>
        <v>1.6980150000000003</v>
      </c>
      <c r="CY32">
        <f>AB32</f>
        <v>89.81</v>
      </c>
      <c r="CZ32">
        <f>AF32</f>
        <v>89.81</v>
      </c>
      <c r="DA32">
        <f>AJ32</f>
        <v>1</v>
      </c>
      <c r="DB32">
        <f t="shared" si="2"/>
        <v>276.16000000000003</v>
      </c>
      <c r="DC32">
        <f t="shared" si="3"/>
        <v>30.38</v>
      </c>
    </row>
    <row r="33" spans="1:107" x14ac:dyDescent="0.2">
      <c r="A33">
        <f>ROW(Source!A110)</f>
        <v>110</v>
      </c>
      <c r="B33">
        <v>39201625</v>
      </c>
      <c r="C33">
        <v>39202309</v>
      </c>
      <c r="D33">
        <v>26554179</v>
      </c>
      <c r="E33">
        <v>1</v>
      </c>
      <c r="F33">
        <v>1</v>
      </c>
      <c r="G33">
        <v>1</v>
      </c>
      <c r="H33">
        <v>2</v>
      </c>
      <c r="I33" t="s">
        <v>388</v>
      </c>
      <c r="J33" t="s">
        <v>389</v>
      </c>
      <c r="K33" t="s">
        <v>390</v>
      </c>
      <c r="L33">
        <v>26553684</v>
      </c>
      <c r="N33">
        <v>1013</v>
      </c>
      <c r="O33" t="s">
        <v>387</v>
      </c>
      <c r="P33" t="s">
        <v>387</v>
      </c>
      <c r="Q33">
        <v>1</v>
      </c>
      <c r="W33">
        <v>0</v>
      </c>
      <c r="X33">
        <v>-1268920169</v>
      </c>
      <c r="Y33">
        <v>3.2374999999999998</v>
      </c>
      <c r="AA33">
        <v>0</v>
      </c>
      <c r="AB33">
        <v>79.75</v>
      </c>
      <c r="AC33">
        <v>13.26</v>
      </c>
      <c r="AD33">
        <v>0</v>
      </c>
      <c r="AE33">
        <v>0</v>
      </c>
      <c r="AF33">
        <v>79.75</v>
      </c>
      <c r="AG33">
        <v>13.26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2.59</v>
      </c>
      <c r="AU33" t="s">
        <v>12</v>
      </c>
      <c r="AV33">
        <v>0</v>
      </c>
      <c r="AW33">
        <v>2</v>
      </c>
      <c r="AX33">
        <v>39202325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Y33*Source!I110</f>
        <v>1.7877475</v>
      </c>
      <c r="CY33">
        <f>AB33</f>
        <v>79.75</v>
      </c>
      <c r="CZ33">
        <f>AF33</f>
        <v>79.75</v>
      </c>
      <c r="DA33">
        <f>AJ33</f>
        <v>1</v>
      </c>
      <c r="DB33">
        <f t="shared" si="2"/>
        <v>258.19</v>
      </c>
      <c r="DC33">
        <f t="shared" si="3"/>
        <v>42.93</v>
      </c>
    </row>
    <row r="34" spans="1:107" x14ac:dyDescent="0.2">
      <c r="A34">
        <f>ROW(Source!A110)</f>
        <v>110</v>
      </c>
      <c r="B34">
        <v>39201625</v>
      </c>
      <c r="C34">
        <v>39202309</v>
      </c>
      <c r="D34">
        <v>26554394</v>
      </c>
      <c r="E34">
        <v>1</v>
      </c>
      <c r="F34">
        <v>1</v>
      </c>
      <c r="G34">
        <v>1</v>
      </c>
      <c r="H34">
        <v>2</v>
      </c>
      <c r="I34" t="s">
        <v>432</v>
      </c>
      <c r="J34" t="s">
        <v>433</v>
      </c>
      <c r="K34" t="s">
        <v>434</v>
      </c>
      <c r="L34">
        <v>26553684</v>
      </c>
      <c r="N34">
        <v>1013</v>
      </c>
      <c r="O34" t="s">
        <v>387</v>
      </c>
      <c r="P34" t="s">
        <v>387</v>
      </c>
      <c r="Q34">
        <v>1</v>
      </c>
      <c r="W34">
        <v>0</v>
      </c>
      <c r="X34">
        <v>-1665323131</v>
      </c>
      <c r="Y34">
        <v>2.875</v>
      </c>
      <c r="AA34">
        <v>0</v>
      </c>
      <c r="AB34">
        <v>122.76</v>
      </c>
      <c r="AC34">
        <v>13.26</v>
      </c>
      <c r="AD34">
        <v>0</v>
      </c>
      <c r="AE34">
        <v>0</v>
      </c>
      <c r="AF34">
        <v>122.76</v>
      </c>
      <c r="AG34">
        <v>13.26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2.2999999999999998</v>
      </c>
      <c r="AU34" t="s">
        <v>12</v>
      </c>
      <c r="AV34">
        <v>0</v>
      </c>
      <c r="AW34">
        <v>2</v>
      </c>
      <c r="AX34">
        <v>39202326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Y34*Source!I110</f>
        <v>1.5875750000000002</v>
      </c>
      <c r="CY34">
        <f>AB34</f>
        <v>122.76</v>
      </c>
      <c r="CZ34">
        <f>AF34</f>
        <v>122.76</v>
      </c>
      <c r="DA34">
        <f>AJ34</f>
        <v>1</v>
      </c>
      <c r="DB34">
        <f t="shared" si="2"/>
        <v>352.94</v>
      </c>
      <c r="DC34">
        <f t="shared" si="3"/>
        <v>38.130000000000003</v>
      </c>
    </row>
    <row r="35" spans="1:107" x14ac:dyDescent="0.2">
      <c r="A35">
        <f>ROW(Source!A110)</f>
        <v>110</v>
      </c>
      <c r="B35">
        <v>39201625</v>
      </c>
      <c r="C35">
        <v>39202309</v>
      </c>
      <c r="D35">
        <v>26554425</v>
      </c>
      <c r="E35">
        <v>1</v>
      </c>
      <c r="F35">
        <v>1</v>
      </c>
      <c r="G35">
        <v>1</v>
      </c>
      <c r="H35">
        <v>2</v>
      </c>
      <c r="I35" t="s">
        <v>435</v>
      </c>
      <c r="J35" t="s">
        <v>436</v>
      </c>
      <c r="K35" t="s">
        <v>437</v>
      </c>
      <c r="L35">
        <v>26553684</v>
      </c>
      <c r="N35">
        <v>1013</v>
      </c>
      <c r="O35" t="s">
        <v>387</v>
      </c>
      <c r="P35" t="s">
        <v>387</v>
      </c>
      <c r="Q35">
        <v>1</v>
      </c>
      <c r="W35">
        <v>0</v>
      </c>
      <c r="X35">
        <v>1425837406</v>
      </c>
      <c r="Y35">
        <v>15.262500000000001</v>
      </c>
      <c r="AA35">
        <v>0</v>
      </c>
      <c r="AB35">
        <v>205.75</v>
      </c>
      <c r="AC35">
        <v>14.14</v>
      </c>
      <c r="AD35">
        <v>0</v>
      </c>
      <c r="AE35">
        <v>0</v>
      </c>
      <c r="AF35">
        <v>205.75</v>
      </c>
      <c r="AG35">
        <v>14.14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12.21</v>
      </c>
      <c r="AU35" t="s">
        <v>12</v>
      </c>
      <c r="AV35">
        <v>0</v>
      </c>
      <c r="AW35">
        <v>2</v>
      </c>
      <c r="AX35">
        <v>39202318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Y35*Source!I110</f>
        <v>8.4279525000000017</v>
      </c>
      <c r="CY35">
        <f>AB35</f>
        <v>205.75</v>
      </c>
      <c r="CZ35">
        <f>AF35</f>
        <v>205.75</v>
      </c>
      <c r="DA35">
        <f>AJ35</f>
        <v>1</v>
      </c>
      <c r="DB35">
        <f t="shared" si="2"/>
        <v>3140.26</v>
      </c>
      <c r="DC35">
        <f t="shared" si="3"/>
        <v>215.81</v>
      </c>
    </row>
    <row r="36" spans="1:107" x14ac:dyDescent="0.2">
      <c r="A36">
        <f>ROW(Source!A110)</f>
        <v>110</v>
      </c>
      <c r="B36">
        <v>39201625</v>
      </c>
      <c r="C36">
        <v>39202309</v>
      </c>
      <c r="D36">
        <v>26554486</v>
      </c>
      <c r="E36">
        <v>1</v>
      </c>
      <c r="F36">
        <v>1</v>
      </c>
      <c r="G36">
        <v>1</v>
      </c>
      <c r="H36">
        <v>2</v>
      </c>
      <c r="I36" t="s">
        <v>399</v>
      </c>
      <c r="J36" t="s">
        <v>400</v>
      </c>
      <c r="K36" t="s">
        <v>401</v>
      </c>
      <c r="L36">
        <v>26553684</v>
      </c>
      <c r="N36">
        <v>1013</v>
      </c>
      <c r="O36" t="s">
        <v>387</v>
      </c>
      <c r="P36" t="s">
        <v>387</v>
      </c>
      <c r="Q36">
        <v>1</v>
      </c>
      <c r="W36">
        <v>0</v>
      </c>
      <c r="X36">
        <v>-1654342457</v>
      </c>
      <c r="Y36">
        <v>1.3</v>
      </c>
      <c r="AA36">
        <v>0</v>
      </c>
      <c r="AB36">
        <v>110</v>
      </c>
      <c r="AC36">
        <v>11.38</v>
      </c>
      <c r="AD36">
        <v>0</v>
      </c>
      <c r="AE36">
        <v>0</v>
      </c>
      <c r="AF36">
        <v>110</v>
      </c>
      <c r="AG36">
        <v>11.38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1.04</v>
      </c>
      <c r="AU36" t="s">
        <v>12</v>
      </c>
      <c r="AV36">
        <v>0</v>
      </c>
      <c r="AW36">
        <v>2</v>
      </c>
      <c r="AX36">
        <v>39202319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Y36*Source!I110</f>
        <v>0.71786000000000005</v>
      </c>
      <c r="CY36">
        <f>AB36</f>
        <v>110</v>
      </c>
      <c r="CZ36">
        <f>AF36</f>
        <v>110</v>
      </c>
      <c r="DA36">
        <f>AJ36</f>
        <v>1</v>
      </c>
      <c r="DB36">
        <f t="shared" si="2"/>
        <v>143</v>
      </c>
      <c r="DC36">
        <f t="shared" si="3"/>
        <v>14.8</v>
      </c>
    </row>
    <row r="37" spans="1:107" x14ac:dyDescent="0.2">
      <c r="A37">
        <f>ROW(Source!A110)</f>
        <v>110</v>
      </c>
      <c r="B37">
        <v>39201625</v>
      </c>
      <c r="C37">
        <v>39202309</v>
      </c>
      <c r="D37">
        <v>26608102</v>
      </c>
      <c r="E37">
        <v>1</v>
      </c>
      <c r="F37">
        <v>1</v>
      </c>
      <c r="G37">
        <v>1</v>
      </c>
      <c r="H37">
        <v>3</v>
      </c>
      <c r="I37" t="s">
        <v>408</v>
      </c>
      <c r="J37" t="s">
        <v>409</v>
      </c>
      <c r="K37" t="s">
        <v>410</v>
      </c>
      <c r="L37">
        <v>1339</v>
      </c>
      <c r="N37">
        <v>1007</v>
      </c>
      <c r="O37" t="s">
        <v>130</v>
      </c>
      <c r="P37" t="s">
        <v>130</v>
      </c>
      <c r="Q37">
        <v>1</v>
      </c>
      <c r="W37">
        <v>0</v>
      </c>
      <c r="X37">
        <v>-1025641989</v>
      </c>
      <c r="Y37">
        <v>7</v>
      </c>
      <c r="AA37">
        <v>2.2599999999999998</v>
      </c>
      <c r="AB37">
        <v>0</v>
      </c>
      <c r="AC37">
        <v>0</v>
      </c>
      <c r="AD37">
        <v>0</v>
      </c>
      <c r="AE37">
        <v>2.2599999999999998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7</v>
      </c>
      <c r="AU37" t="s">
        <v>3</v>
      </c>
      <c r="AV37">
        <v>0</v>
      </c>
      <c r="AW37">
        <v>2</v>
      </c>
      <c r="AX37">
        <v>39202321</v>
      </c>
      <c r="AY37">
        <v>1</v>
      </c>
      <c r="AZ37">
        <v>0</v>
      </c>
      <c r="BA37">
        <v>38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Y37*Source!I110</f>
        <v>3.8654000000000002</v>
      </c>
      <c r="CY37">
        <f>AA37</f>
        <v>2.2599999999999998</v>
      </c>
      <c r="CZ37">
        <f>AE37</f>
        <v>2.2599999999999998</v>
      </c>
      <c r="DA37">
        <f>AI37</f>
        <v>1</v>
      </c>
      <c r="DB37">
        <f>ROUND(ROUND(AT37*CZ37,2),2)</f>
        <v>15.82</v>
      </c>
      <c r="DC37">
        <f>ROUND(ROUND(AT37*AG37,2),2)</f>
        <v>0</v>
      </c>
    </row>
    <row r="38" spans="1:107" x14ac:dyDescent="0.2">
      <c r="A38">
        <f>ROW(Source!A111)</f>
        <v>111</v>
      </c>
      <c r="B38">
        <v>39201625</v>
      </c>
      <c r="C38">
        <v>42541463</v>
      </c>
      <c r="D38">
        <v>24233887</v>
      </c>
      <c r="E38">
        <v>1</v>
      </c>
      <c r="F38">
        <v>1</v>
      </c>
      <c r="G38">
        <v>1</v>
      </c>
      <c r="H38">
        <v>1</v>
      </c>
      <c r="I38" t="s">
        <v>378</v>
      </c>
      <c r="J38" t="s">
        <v>3</v>
      </c>
      <c r="K38" t="s">
        <v>379</v>
      </c>
      <c r="L38">
        <v>1476</v>
      </c>
      <c r="N38">
        <v>1013</v>
      </c>
      <c r="O38" t="s">
        <v>380</v>
      </c>
      <c r="P38" t="s">
        <v>381</v>
      </c>
      <c r="Q38">
        <v>1</v>
      </c>
      <c r="W38">
        <v>0</v>
      </c>
      <c r="X38">
        <v>2017347174</v>
      </c>
      <c r="Y38">
        <v>27.8185</v>
      </c>
      <c r="AA38">
        <v>0</v>
      </c>
      <c r="AB38">
        <v>0</v>
      </c>
      <c r="AC38">
        <v>0</v>
      </c>
      <c r="AD38">
        <v>6.58</v>
      </c>
      <c r="AE38">
        <v>0</v>
      </c>
      <c r="AF38">
        <v>0</v>
      </c>
      <c r="AG38">
        <v>0</v>
      </c>
      <c r="AH38">
        <v>6.58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24.19</v>
      </c>
      <c r="AU38" t="s">
        <v>13</v>
      </c>
      <c r="AV38">
        <v>1</v>
      </c>
      <c r="AW38">
        <v>2</v>
      </c>
      <c r="AX38">
        <v>42541481</v>
      </c>
      <c r="AY38">
        <v>1</v>
      </c>
      <c r="AZ38">
        <v>0</v>
      </c>
      <c r="BA38">
        <v>39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Y38*Source!I111</f>
        <v>2.8736510500000003</v>
      </c>
      <c r="CY38">
        <f>AD38</f>
        <v>6.58</v>
      </c>
      <c r="CZ38">
        <f>AH38</f>
        <v>6.58</v>
      </c>
      <c r="DA38">
        <f>AL38</f>
        <v>1</v>
      </c>
      <c r="DB38">
        <f>ROUND((ROUND(AT38*CZ38,2)*1.15),2)</f>
        <v>183.05</v>
      </c>
      <c r="DC38">
        <f>ROUND((ROUND(AT38*AG38,2)*1.15),2)</f>
        <v>0</v>
      </c>
    </row>
    <row r="39" spans="1:107" x14ac:dyDescent="0.2">
      <c r="A39">
        <f>ROW(Source!A111)</f>
        <v>111</v>
      </c>
      <c r="B39">
        <v>39201625</v>
      </c>
      <c r="C39">
        <v>42541463</v>
      </c>
      <c r="D39">
        <v>121548</v>
      </c>
      <c r="E39">
        <v>1</v>
      </c>
      <c r="F39">
        <v>1</v>
      </c>
      <c r="G39">
        <v>1</v>
      </c>
      <c r="H39">
        <v>1</v>
      </c>
      <c r="I39" t="s">
        <v>26</v>
      </c>
      <c r="J39" t="s">
        <v>3</v>
      </c>
      <c r="K39" t="s">
        <v>382</v>
      </c>
      <c r="L39">
        <v>608254</v>
      </c>
      <c r="N39">
        <v>1013</v>
      </c>
      <c r="O39" t="s">
        <v>383</v>
      </c>
      <c r="P39" t="s">
        <v>383</v>
      </c>
      <c r="Q39">
        <v>1</v>
      </c>
      <c r="W39">
        <v>0</v>
      </c>
      <c r="X39">
        <v>-185737400</v>
      </c>
      <c r="Y39">
        <v>25.75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20.6</v>
      </c>
      <c r="AU39" t="s">
        <v>12</v>
      </c>
      <c r="AV39">
        <v>2</v>
      </c>
      <c r="AW39">
        <v>2</v>
      </c>
      <c r="AX39">
        <v>42541482</v>
      </c>
      <c r="AY39">
        <v>1</v>
      </c>
      <c r="AZ39">
        <v>0</v>
      </c>
      <c r="BA39">
        <v>40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Y39*Source!I111</f>
        <v>2.6599750000000002</v>
      </c>
      <c r="CY39">
        <f>AD39</f>
        <v>0</v>
      </c>
      <c r="CZ39">
        <f>AH39</f>
        <v>0</v>
      </c>
      <c r="DA39">
        <f>AL39</f>
        <v>1</v>
      </c>
      <c r="DB39">
        <f t="shared" ref="DB39:DB44" si="4">ROUND((ROUND(AT39*CZ39,2)*1.25),2)</f>
        <v>0</v>
      </c>
      <c r="DC39">
        <f t="shared" ref="DC39:DC44" si="5">ROUND((ROUND(AT39*AG39,2)*1.25),2)</f>
        <v>0</v>
      </c>
    </row>
    <row r="40" spans="1:107" x14ac:dyDescent="0.2">
      <c r="A40">
        <f>ROW(Source!A111)</f>
        <v>111</v>
      </c>
      <c r="B40">
        <v>39201625</v>
      </c>
      <c r="C40">
        <v>42541463</v>
      </c>
      <c r="D40">
        <v>26553886</v>
      </c>
      <c r="E40">
        <v>1</v>
      </c>
      <c r="F40">
        <v>1</v>
      </c>
      <c r="G40">
        <v>1</v>
      </c>
      <c r="H40">
        <v>2</v>
      </c>
      <c r="I40" t="s">
        <v>429</v>
      </c>
      <c r="J40" t="s">
        <v>430</v>
      </c>
      <c r="K40" t="s">
        <v>431</v>
      </c>
      <c r="L40">
        <v>26553684</v>
      </c>
      <c r="N40">
        <v>1013</v>
      </c>
      <c r="O40" t="s">
        <v>387</v>
      </c>
      <c r="P40" t="s">
        <v>387</v>
      </c>
      <c r="Q40">
        <v>1</v>
      </c>
      <c r="W40">
        <v>0</v>
      </c>
      <c r="X40">
        <v>-1120646225</v>
      </c>
      <c r="Y40">
        <v>3.0750000000000002</v>
      </c>
      <c r="AA40">
        <v>0</v>
      </c>
      <c r="AB40">
        <v>89.81</v>
      </c>
      <c r="AC40">
        <v>9.8800000000000008</v>
      </c>
      <c r="AD40">
        <v>0</v>
      </c>
      <c r="AE40">
        <v>0</v>
      </c>
      <c r="AF40">
        <v>89.81</v>
      </c>
      <c r="AG40">
        <v>9.8800000000000008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2.46</v>
      </c>
      <c r="AU40" t="s">
        <v>12</v>
      </c>
      <c r="AV40">
        <v>0</v>
      </c>
      <c r="AW40">
        <v>2</v>
      </c>
      <c r="AX40">
        <v>42541483</v>
      </c>
      <c r="AY40">
        <v>1</v>
      </c>
      <c r="AZ40">
        <v>0</v>
      </c>
      <c r="BA40">
        <v>41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Y40*Source!I111</f>
        <v>0.31764750000000003</v>
      </c>
      <c r="CY40">
        <f>AB40</f>
        <v>89.81</v>
      </c>
      <c r="CZ40">
        <f>AF40</f>
        <v>89.81</v>
      </c>
      <c r="DA40">
        <f>AJ40</f>
        <v>1</v>
      </c>
      <c r="DB40">
        <f t="shared" si="4"/>
        <v>276.16000000000003</v>
      </c>
      <c r="DC40">
        <f t="shared" si="5"/>
        <v>30.38</v>
      </c>
    </row>
    <row r="41" spans="1:107" x14ac:dyDescent="0.2">
      <c r="A41">
        <f>ROW(Source!A111)</f>
        <v>111</v>
      </c>
      <c r="B41">
        <v>39201625</v>
      </c>
      <c r="C41">
        <v>42541463</v>
      </c>
      <c r="D41">
        <v>26554179</v>
      </c>
      <c r="E41">
        <v>1</v>
      </c>
      <c r="F41">
        <v>1</v>
      </c>
      <c r="G41">
        <v>1</v>
      </c>
      <c r="H41">
        <v>2</v>
      </c>
      <c r="I41" t="s">
        <v>388</v>
      </c>
      <c r="J41" t="s">
        <v>389</v>
      </c>
      <c r="K41" t="s">
        <v>390</v>
      </c>
      <c r="L41">
        <v>26553684</v>
      </c>
      <c r="N41">
        <v>1013</v>
      </c>
      <c r="O41" t="s">
        <v>387</v>
      </c>
      <c r="P41" t="s">
        <v>387</v>
      </c>
      <c r="Q41">
        <v>1</v>
      </c>
      <c r="W41">
        <v>0</v>
      </c>
      <c r="X41">
        <v>-1268920169</v>
      </c>
      <c r="Y41">
        <v>3.2374999999999998</v>
      </c>
      <c r="AA41">
        <v>0</v>
      </c>
      <c r="AB41">
        <v>79.75</v>
      </c>
      <c r="AC41">
        <v>13.26</v>
      </c>
      <c r="AD41">
        <v>0</v>
      </c>
      <c r="AE41">
        <v>0</v>
      </c>
      <c r="AF41">
        <v>79.75</v>
      </c>
      <c r="AG41">
        <v>13.26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2.59</v>
      </c>
      <c r="AU41" t="s">
        <v>12</v>
      </c>
      <c r="AV41">
        <v>0</v>
      </c>
      <c r="AW41">
        <v>2</v>
      </c>
      <c r="AX41">
        <v>42541484</v>
      </c>
      <c r="AY41">
        <v>1</v>
      </c>
      <c r="AZ41">
        <v>0</v>
      </c>
      <c r="BA41">
        <v>42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Y41*Source!I111</f>
        <v>0.33443374999999997</v>
      </c>
      <c r="CY41">
        <f>AB41</f>
        <v>79.75</v>
      </c>
      <c r="CZ41">
        <f>AF41</f>
        <v>79.75</v>
      </c>
      <c r="DA41">
        <f>AJ41</f>
        <v>1</v>
      </c>
      <c r="DB41">
        <f t="shared" si="4"/>
        <v>258.19</v>
      </c>
      <c r="DC41">
        <f t="shared" si="5"/>
        <v>42.93</v>
      </c>
    </row>
    <row r="42" spans="1:107" x14ac:dyDescent="0.2">
      <c r="A42">
        <f>ROW(Source!A111)</f>
        <v>111</v>
      </c>
      <c r="B42">
        <v>39201625</v>
      </c>
      <c r="C42">
        <v>42541463</v>
      </c>
      <c r="D42">
        <v>26554394</v>
      </c>
      <c r="E42">
        <v>1</v>
      </c>
      <c r="F42">
        <v>1</v>
      </c>
      <c r="G42">
        <v>1</v>
      </c>
      <c r="H42">
        <v>2</v>
      </c>
      <c r="I42" t="s">
        <v>432</v>
      </c>
      <c r="J42" t="s">
        <v>433</v>
      </c>
      <c r="K42" t="s">
        <v>434</v>
      </c>
      <c r="L42">
        <v>26553684</v>
      </c>
      <c r="N42">
        <v>1013</v>
      </c>
      <c r="O42" t="s">
        <v>387</v>
      </c>
      <c r="P42" t="s">
        <v>387</v>
      </c>
      <c r="Q42">
        <v>1</v>
      </c>
      <c r="W42">
        <v>0</v>
      </c>
      <c r="X42">
        <v>-1665323131</v>
      </c>
      <c r="Y42">
        <v>2.875</v>
      </c>
      <c r="AA42">
        <v>0</v>
      </c>
      <c r="AB42">
        <v>122.76</v>
      </c>
      <c r="AC42">
        <v>13.26</v>
      </c>
      <c r="AD42">
        <v>0</v>
      </c>
      <c r="AE42">
        <v>0</v>
      </c>
      <c r="AF42">
        <v>122.76</v>
      </c>
      <c r="AG42">
        <v>13.26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2.2999999999999998</v>
      </c>
      <c r="AU42" t="s">
        <v>12</v>
      </c>
      <c r="AV42">
        <v>0</v>
      </c>
      <c r="AW42">
        <v>2</v>
      </c>
      <c r="AX42">
        <v>42541485</v>
      </c>
      <c r="AY42">
        <v>1</v>
      </c>
      <c r="AZ42">
        <v>0</v>
      </c>
      <c r="BA42">
        <v>43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Y42*Source!I111</f>
        <v>0.29698750000000002</v>
      </c>
      <c r="CY42">
        <f>AB42</f>
        <v>122.76</v>
      </c>
      <c r="CZ42">
        <f>AF42</f>
        <v>122.76</v>
      </c>
      <c r="DA42">
        <f>AJ42</f>
        <v>1</v>
      </c>
      <c r="DB42">
        <f t="shared" si="4"/>
        <v>352.94</v>
      </c>
      <c r="DC42">
        <f t="shared" si="5"/>
        <v>38.130000000000003</v>
      </c>
    </row>
    <row r="43" spans="1:107" x14ac:dyDescent="0.2">
      <c r="A43">
        <f>ROW(Source!A111)</f>
        <v>111</v>
      </c>
      <c r="B43">
        <v>39201625</v>
      </c>
      <c r="C43">
        <v>42541463</v>
      </c>
      <c r="D43">
        <v>26554425</v>
      </c>
      <c r="E43">
        <v>1</v>
      </c>
      <c r="F43">
        <v>1</v>
      </c>
      <c r="G43">
        <v>1</v>
      </c>
      <c r="H43">
        <v>2</v>
      </c>
      <c r="I43" t="s">
        <v>435</v>
      </c>
      <c r="J43" t="s">
        <v>436</v>
      </c>
      <c r="K43" t="s">
        <v>437</v>
      </c>
      <c r="L43">
        <v>26553684</v>
      </c>
      <c r="N43">
        <v>1013</v>
      </c>
      <c r="O43" t="s">
        <v>387</v>
      </c>
      <c r="P43" t="s">
        <v>387</v>
      </c>
      <c r="Q43">
        <v>1</v>
      </c>
      <c r="W43">
        <v>0</v>
      </c>
      <c r="X43">
        <v>1425837406</v>
      </c>
      <c r="Y43">
        <v>15.262500000000001</v>
      </c>
      <c r="AA43">
        <v>0</v>
      </c>
      <c r="AB43">
        <v>205.75</v>
      </c>
      <c r="AC43">
        <v>14.14</v>
      </c>
      <c r="AD43">
        <v>0</v>
      </c>
      <c r="AE43">
        <v>0</v>
      </c>
      <c r="AF43">
        <v>205.75</v>
      </c>
      <c r="AG43">
        <v>14.14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12.21</v>
      </c>
      <c r="AU43" t="s">
        <v>12</v>
      </c>
      <c r="AV43">
        <v>0</v>
      </c>
      <c r="AW43">
        <v>2</v>
      </c>
      <c r="AX43">
        <v>42541486</v>
      </c>
      <c r="AY43">
        <v>1</v>
      </c>
      <c r="AZ43">
        <v>0</v>
      </c>
      <c r="BA43">
        <v>44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Y43*Source!I111</f>
        <v>1.5766162500000001</v>
      </c>
      <c r="CY43">
        <f>AB43</f>
        <v>205.75</v>
      </c>
      <c r="CZ43">
        <f>AF43</f>
        <v>205.75</v>
      </c>
      <c r="DA43">
        <f>AJ43</f>
        <v>1</v>
      </c>
      <c r="DB43">
        <f t="shared" si="4"/>
        <v>3140.26</v>
      </c>
      <c r="DC43">
        <f t="shared" si="5"/>
        <v>215.81</v>
      </c>
    </row>
    <row r="44" spans="1:107" x14ac:dyDescent="0.2">
      <c r="A44">
        <f>ROW(Source!A111)</f>
        <v>111</v>
      </c>
      <c r="B44">
        <v>39201625</v>
      </c>
      <c r="C44">
        <v>42541463</v>
      </c>
      <c r="D44">
        <v>26554486</v>
      </c>
      <c r="E44">
        <v>1</v>
      </c>
      <c r="F44">
        <v>1</v>
      </c>
      <c r="G44">
        <v>1</v>
      </c>
      <c r="H44">
        <v>2</v>
      </c>
      <c r="I44" t="s">
        <v>399</v>
      </c>
      <c r="J44" t="s">
        <v>400</v>
      </c>
      <c r="K44" t="s">
        <v>401</v>
      </c>
      <c r="L44">
        <v>26553684</v>
      </c>
      <c r="N44">
        <v>1013</v>
      </c>
      <c r="O44" t="s">
        <v>387</v>
      </c>
      <c r="P44" t="s">
        <v>387</v>
      </c>
      <c r="Q44">
        <v>1</v>
      </c>
      <c r="W44">
        <v>0</v>
      </c>
      <c r="X44">
        <v>-1654342457</v>
      </c>
      <c r="Y44">
        <v>1.3</v>
      </c>
      <c r="AA44">
        <v>0</v>
      </c>
      <c r="AB44">
        <v>110</v>
      </c>
      <c r="AC44">
        <v>11.38</v>
      </c>
      <c r="AD44">
        <v>0</v>
      </c>
      <c r="AE44">
        <v>0</v>
      </c>
      <c r="AF44">
        <v>110</v>
      </c>
      <c r="AG44">
        <v>11.38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1.04</v>
      </c>
      <c r="AU44" t="s">
        <v>12</v>
      </c>
      <c r="AV44">
        <v>0</v>
      </c>
      <c r="AW44">
        <v>2</v>
      </c>
      <c r="AX44">
        <v>42541487</v>
      </c>
      <c r="AY44">
        <v>1</v>
      </c>
      <c r="AZ44">
        <v>0</v>
      </c>
      <c r="BA44">
        <v>45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Y44*Source!I111</f>
        <v>0.13429000000000002</v>
      </c>
      <c r="CY44">
        <f>AB44</f>
        <v>110</v>
      </c>
      <c r="CZ44">
        <f>AF44</f>
        <v>110</v>
      </c>
      <c r="DA44">
        <f>AJ44</f>
        <v>1</v>
      </c>
      <c r="DB44">
        <f t="shared" si="4"/>
        <v>143</v>
      </c>
      <c r="DC44">
        <f t="shared" si="5"/>
        <v>14.8</v>
      </c>
    </row>
    <row r="45" spans="1:107" x14ac:dyDescent="0.2">
      <c r="A45">
        <f>ROW(Source!A111)</f>
        <v>111</v>
      </c>
      <c r="B45">
        <v>39201625</v>
      </c>
      <c r="C45">
        <v>42541463</v>
      </c>
      <c r="D45">
        <v>26607598</v>
      </c>
      <c r="E45">
        <v>1</v>
      </c>
      <c r="F45">
        <v>1</v>
      </c>
      <c r="G45">
        <v>1</v>
      </c>
      <c r="H45">
        <v>3</v>
      </c>
      <c r="I45" t="s">
        <v>141</v>
      </c>
      <c r="J45" t="s">
        <v>143</v>
      </c>
      <c r="K45" t="s">
        <v>142</v>
      </c>
      <c r="L45">
        <v>1339</v>
      </c>
      <c r="N45">
        <v>1007</v>
      </c>
      <c r="O45" t="s">
        <v>130</v>
      </c>
      <c r="P45" t="s">
        <v>130</v>
      </c>
      <c r="Q45">
        <v>1</v>
      </c>
      <c r="W45">
        <v>0</v>
      </c>
      <c r="X45">
        <v>1276216311</v>
      </c>
      <c r="Y45">
        <v>126</v>
      </c>
      <c r="AA45">
        <v>127.2</v>
      </c>
      <c r="AB45">
        <v>0</v>
      </c>
      <c r="AC45">
        <v>0</v>
      </c>
      <c r="AD45">
        <v>0</v>
      </c>
      <c r="AE45">
        <v>127.2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1</v>
      </c>
      <c r="AO45">
        <v>0</v>
      </c>
      <c r="AP45">
        <v>0</v>
      </c>
      <c r="AQ45">
        <v>0</v>
      </c>
      <c r="AR45">
        <v>0</v>
      </c>
      <c r="AS45" t="s">
        <v>3</v>
      </c>
      <c r="AT45">
        <v>126</v>
      </c>
      <c r="AU45" t="s">
        <v>3</v>
      </c>
      <c r="AV45">
        <v>0</v>
      </c>
      <c r="AW45">
        <v>1</v>
      </c>
      <c r="AX45">
        <v>-1</v>
      </c>
      <c r="AY45">
        <v>0</v>
      </c>
      <c r="AZ45">
        <v>0</v>
      </c>
      <c r="BA45" t="s">
        <v>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Y45*Source!I111</f>
        <v>13.0158</v>
      </c>
      <c r="CY45">
        <f>AA45</f>
        <v>127.2</v>
      </c>
      <c r="CZ45">
        <f>AE45</f>
        <v>127.2</v>
      </c>
      <c r="DA45">
        <f>AI45</f>
        <v>1</v>
      </c>
      <c r="DB45">
        <f>ROUND(ROUND(AT45*CZ45,2),2)</f>
        <v>16027.2</v>
      </c>
      <c r="DC45">
        <f>ROUND(ROUND(AT45*AG45,2),2)</f>
        <v>0</v>
      </c>
    </row>
    <row r="46" spans="1:107" x14ac:dyDescent="0.2">
      <c r="A46">
        <f>ROW(Source!A111)</f>
        <v>111</v>
      </c>
      <c r="B46">
        <v>39201625</v>
      </c>
      <c r="C46">
        <v>42541463</v>
      </c>
      <c r="D46">
        <v>26608102</v>
      </c>
      <c r="E46">
        <v>1</v>
      </c>
      <c r="F46">
        <v>1</v>
      </c>
      <c r="G46">
        <v>1</v>
      </c>
      <c r="H46">
        <v>3</v>
      </c>
      <c r="I46" t="s">
        <v>408</v>
      </c>
      <c r="J46" t="s">
        <v>409</v>
      </c>
      <c r="K46" t="s">
        <v>410</v>
      </c>
      <c r="L46">
        <v>1339</v>
      </c>
      <c r="N46">
        <v>1007</v>
      </c>
      <c r="O46" t="s">
        <v>130</v>
      </c>
      <c r="P46" t="s">
        <v>130</v>
      </c>
      <c r="Q46">
        <v>1</v>
      </c>
      <c r="W46">
        <v>0</v>
      </c>
      <c r="X46">
        <v>-1025641989</v>
      </c>
      <c r="Y46">
        <v>7</v>
      </c>
      <c r="AA46">
        <v>2.2599999999999998</v>
      </c>
      <c r="AB46">
        <v>0</v>
      </c>
      <c r="AC46">
        <v>0</v>
      </c>
      <c r="AD46">
        <v>0</v>
      </c>
      <c r="AE46">
        <v>2.2599999999999998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7</v>
      </c>
      <c r="AU46" t="s">
        <v>3</v>
      </c>
      <c r="AV46">
        <v>0</v>
      </c>
      <c r="AW46">
        <v>2</v>
      </c>
      <c r="AX46">
        <v>42541489</v>
      </c>
      <c r="AY46">
        <v>1</v>
      </c>
      <c r="AZ46">
        <v>0</v>
      </c>
      <c r="BA46">
        <v>47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Y46*Source!I111</f>
        <v>0.72310000000000008</v>
      </c>
      <c r="CY46">
        <f>AA46</f>
        <v>2.2599999999999998</v>
      </c>
      <c r="CZ46">
        <f>AE46</f>
        <v>2.2599999999999998</v>
      </c>
      <c r="DA46">
        <f>AI46</f>
        <v>1</v>
      </c>
      <c r="DB46">
        <f>ROUND(ROUND(AT46*CZ46,2),2)</f>
        <v>15.82</v>
      </c>
      <c r="DC46">
        <f>ROUND(ROUND(AT46*AG46,2),2)</f>
        <v>0</v>
      </c>
    </row>
    <row r="47" spans="1:107" x14ac:dyDescent="0.2">
      <c r="A47">
        <f>ROW(Source!A113)</f>
        <v>113</v>
      </c>
      <c r="B47">
        <v>39201625</v>
      </c>
      <c r="C47">
        <v>39202327</v>
      </c>
      <c r="D47">
        <v>121548</v>
      </c>
      <c r="E47">
        <v>1</v>
      </c>
      <c r="F47">
        <v>1</v>
      </c>
      <c r="G47">
        <v>1</v>
      </c>
      <c r="H47">
        <v>1</v>
      </c>
      <c r="I47" t="s">
        <v>26</v>
      </c>
      <c r="J47" t="s">
        <v>3</v>
      </c>
      <c r="K47" t="s">
        <v>382</v>
      </c>
      <c r="L47">
        <v>608254</v>
      </c>
      <c r="N47">
        <v>1013</v>
      </c>
      <c r="O47" t="s">
        <v>383</v>
      </c>
      <c r="P47" t="s">
        <v>383</v>
      </c>
      <c r="Q47">
        <v>1</v>
      </c>
      <c r="W47">
        <v>0</v>
      </c>
      <c r="X47">
        <v>-185737400</v>
      </c>
      <c r="Y47">
        <v>0.82500000000000007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0.66</v>
      </c>
      <c r="AU47" t="s">
        <v>12</v>
      </c>
      <c r="AV47">
        <v>2</v>
      </c>
      <c r="AW47">
        <v>2</v>
      </c>
      <c r="AX47">
        <v>39202331</v>
      </c>
      <c r="AY47">
        <v>1</v>
      </c>
      <c r="AZ47">
        <v>0</v>
      </c>
      <c r="BA47">
        <v>48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Y47*Source!I113</f>
        <v>0.54086999999999996</v>
      </c>
      <c r="CY47">
        <f>AD47</f>
        <v>0</v>
      </c>
      <c r="CZ47">
        <f>AH47</f>
        <v>0</v>
      </c>
      <c r="DA47">
        <f>AL47</f>
        <v>1</v>
      </c>
      <c r="DB47">
        <f>ROUND((ROUND(AT47*CZ47,2)*1.25),2)</f>
        <v>0</v>
      </c>
      <c r="DC47">
        <f>ROUND((ROUND(AT47*AG47,2)*1.25),2)</f>
        <v>0</v>
      </c>
    </row>
    <row r="48" spans="1:107" x14ac:dyDescent="0.2">
      <c r="A48">
        <f>ROW(Source!A113)</f>
        <v>113</v>
      </c>
      <c r="B48">
        <v>39201625</v>
      </c>
      <c r="C48">
        <v>39202327</v>
      </c>
      <c r="D48">
        <v>26554388</v>
      </c>
      <c r="E48">
        <v>1</v>
      </c>
      <c r="F48">
        <v>1</v>
      </c>
      <c r="G48">
        <v>1</v>
      </c>
      <c r="H48">
        <v>2</v>
      </c>
      <c r="I48" t="s">
        <v>438</v>
      </c>
      <c r="J48" t="s">
        <v>439</v>
      </c>
      <c r="K48" t="s">
        <v>440</v>
      </c>
      <c r="L48">
        <v>26553684</v>
      </c>
      <c r="N48">
        <v>1013</v>
      </c>
      <c r="O48" t="s">
        <v>387</v>
      </c>
      <c r="P48" t="s">
        <v>387</v>
      </c>
      <c r="Q48">
        <v>1</v>
      </c>
      <c r="W48">
        <v>0</v>
      </c>
      <c r="X48">
        <v>72582067</v>
      </c>
      <c r="Y48">
        <v>0.41250000000000003</v>
      </c>
      <c r="AA48">
        <v>0</v>
      </c>
      <c r="AB48">
        <v>119.57</v>
      </c>
      <c r="AC48">
        <v>21.26</v>
      </c>
      <c r="AD48">
        <v>0</v>
      </c>
      <c r="AE48">
        <v>0</v>
      </c>
      <c r="AF48">
        <v>119.57</v>
      </c>
      <c r="AG48">
        <v>21.26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0.33</v>
      </c>
      <c r="AU48" t="s">
        <v>12</v>
      </c>
      <c r="AV48">
        <v>0</v>
      </c>
      <c r="AW48">
        <v>2</v>
      </c>
      <c r="AX48">
        <v>39202332</v>
      </c>
      <c r="AY48">
        <v>1</v>
      </c>
      <c r="AZ48">
        <v>0</v>
      </c>
      <c r="BA48">
        <v>49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Y48*Source!I113</f>
        <v>0.27043499999999998</v>
      </c>
      <c r="CY48">
        <f>AB48</f>
        <v>119.57</v>
      </c>
      <c r="CZ48">
        <f>AF48</f>
        <v>119.57</v>
      </c>
      <c r="DA48">
        <f>AJ48</f>
        <v>1</v>
      </c>
      <c r="DB48">
        <f>ROUND((ROUND(AT48*CZ48,2)*1.25),2)</f>
        <v>49.33</v>
      </c>
      <c r="DC48">
        <f>ROUND((ROUND(AT48*AG48,2)*1.25),2)</f>
        <v>8.7799999999999994</v>
      </c>
    </row>
    <row r="49" spans="1:107" x14ac:dyDescent="0.2">
      <c r="A49">
        <f>ROW(Source!A113)</f>
        <v>113</v>
      </c>
      <c r="B49">
        <v>39201625</v>
      </c>
      <c r="C49">
        <v>39202327</v>
      </c>
      <c r="D49">
        <v>26558501</v>
      </c>
      <c r="E49">
        <v>1</v>
      </c>
      <c r="F49">
        <v>1</v>
      </c>
      <c r="G49">
        <v>1</v>
      </c>
      <c r="H49">
        <v>3</v>
      </c>
      <c r="I49" t="s">
        <v>441</v>
      </c>
      <c r="J49" t="s">
        <v>442</v>
      </c>
      <c r="K49" t="s">
        <v>443</v>
      </c>
      <c r="L49">
        <v>1348</v>
      </c>
      <c r="N49">
        <v>1009</v>
      </c>
      <c r="O49" t="s">
        <v>169</v>
      </c>
      <c r="P49" t="s">
        <v>169</v>
      </c>
      <c r="Q49">
        <v>1000</v>
      </c>
      <c r="W49">
        <v>0</v>
      </c>
      <c r="X49">
        <v>-1734730509</v>
      </c>
      <c r="Y49">
        <v>1.03</v>
      </c>
      <c r="AA49">
        <v>1424.35</v>
      </c>
      <c r="AB49">
        <v>0</v>
      </c>
      <c r="AC49">
        <v>0</v>
      </c>
      <c r="AD49">
        <v>0</v>
      </c>
      <c r="AE49">
        <v>1424.35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1.03</v>
      </c>
      <c r="AU49" t="s">
        <v>3</v>
      </c>
      <c r="AV49">
        <v>0</v>
      </c>
      <c r="AW49">
        <v>2</v>
      </c>
      <c r="AX49">
        <v>39202333</v>
      </c>
      <c r="AY49">
        <v>1</v>
      </c>
      <c r="AZ49">
        <v>0</v>
      </c>
      <c r="BA49">
        <v>50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Y49*Source!I113</f>
        <v>0.67526799999999998</v>
      </c>
      <c r="CY49">
        <f>AA49</f>
        <v>1424.35</v>
      </c>
      <c r="CZ49">
        <f>AE49</f>
        <v>1424.35</v>
      </c>
      <c r="DA49">
        <f>AI49</f>
        <v>1</v>
      </c>
      <c r="DB49">
        <f>ROUND(ROUND(AT49*CZ49,2),2)</f>
        <v>1467.08</v>
      </c>
      <c r="DC49">
        <f>ROUND(ROUND(AT49*AG49,2),2)</f>
        <v>0</v>
      </c>
    </row>
    <row r="50" spans="1:107" x14ac:dyDescent="0.2">
      <c r="A50">
        <f>ROW(Source!A114)</f>
        <v>114</v>
      </c>
      <c r="B50">
        <v>39201625</v>
      </c>
      <c r="C50">
        <v>39202334</v>
      </c>
      <c r="D50">
        <v>24225483</v>
      </c>
      <c r="E50">
        <v>1</v>
      </c>
      <c r="F50">
        <v>1</v>
      </c>
      <c r="G50">
        <v>1</v>
      </c>
      <c r="H50">
        <v>1</v>
      </c>
      <c r="I50" t="s">
        <v>444</v>
      </c>
      <c r="J50" t="s">
        <v>3</v>
      </c>
      <c r="K50" t="s">
        <v>445</v>
      </c>
      <c r="L50">
        <v>1476</v>
      </c>
      <c r="N50">
        <v>1013</v>
      </c>
      <c r="O50" t="s">
        <v>380</v>
      </c>
      <c r="P50" t="s">
        <v>381</v>
      </c>
      <c r="Q50">
        <v>1</v>
      </c>
      <c r="W50">
        <v>0</v>
      </c>
      <c r="X50">
        <v>-980287603</v>
      </c>
      <c r="Y50">
        <v>44.044999999999995</v>
      </c>
      <c r="AA50">
        <v>0</v>
      </c>
      <c r="AB50">
        <v>0</v>
      </c>
      <c r="AC50">
        <v>0</v>
      </c>
      <c r="AD50">
        <v>7.83</v>
      </c>
      <c r="AE50">
        <v>0</v>
      </c>
      <c r="AF50">
        <v>0</v>
      </c>
      <c r="AG50">
        <v>0</v>
      </c>
      <c r="AH50">
        <v>7.83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38.299999999999997</v>
      </c>
      <c r="AU50" t="s">
        <v>13</v>
      </c>
      <c r="AV50">
        <v>1</v>
      </c>
      <c r="AW50">
        <v>2</v>
      </c>
      <c r="AX50">
        <v>39202349</v>
      </c>
      <c r="AY50">
        <v>1</v>
      </c>
      <c r="AZ50">
        <v>0</v>
      </c>
      <c r="BA50">
        <v>51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Y50*Source!I114</f>
        <v>48.123566999999994</v>
      </c>
      <c r="CY50">
        <f>AD50</f>
        <v>7.83</v>
      </c>
      <c r="CZ50">
        <f>AH50</f>
        <v>7.83</v>
      </c>
      <c r="DA50">
        <f>AL50</f>
        <v>1</v>
      </c>
      <c r="DB50">
        <f>ROUND((ROUND(AT50*CZ50,2)*1.15),2)</f>
        <v>344.87</v>
      </c>
      <c r="DC50">
        <f>ROUND((ROUND(AT50*AG50,2)*1.15),2)</f>
        <v>0</v>
      </c>
    </row>
    <row r="51" spans="1:107" x14ac:dyDescent="0.2">
      <c r="A51">
        <f>ROW(Source!A114)</f>
        <v>114</v>
      </c>
      <c r="B51">
        <v>39201625</v>
      </c>
      <c r="C51">
        <v>39202334</v>
      </c>
      <c r="D51">
        <v>121548</v>
      </c>
      <c r="E51">
        <v>1</v>
      </c>
      <c r="F51">
        <v>1</v>
      </c>
      <c r="G51">
        <v>1</v>
      </c>
      <c r="H51">
        <v>1</v>
      </c>
      <c r="I51" t="s">
        <v>26</v>
      </c>
      <c r="J51" t="s">
        <v>3</v>
      </c>
      <c r="K51" t="s">
        <v>382</v>
      </c>
      <c r="L51">
        <v>608254</v>
      </c>
      <c r="N51">
        <v>1013</v>
      </c>
      <c r="O51" t="s">
        <v>383</v>
      </c>
      <c r="P51" t="s">
        <v>383</v>
      </c>
      <c r="Q51">
        <v>1</v>
      </c>
      <c r="W51">
        <v>0</v>
      </c>
      <c r="X51">
        <v>-185737400</v>
      </c>
      <c r="Y51">
        <v>23.875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19.100000000000001</v>
      </c>
      <c r="AU51" t="s">
        <v>12</v>
      </c>
      <c r="AV51">
        <v>2</v>
      </c>
      <c r="AW51">
        <v>2</v>
      </c>
      <c r="AX51">
        <v>39202350</v>
      </c>
      <c r="AY51">
        <v>1</v>
      </c>
      <c r="AZ51">
        <v>0</v>
      </c>
      <c r="BA51">
        <v>52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Y51*Source!I114</f>
        <v>26.085825</v>
      </c>
      <c r="CY51">
        <f>AD51</f>
        <v>0</v>
      </c>
      <c r="CZ51">
        <f>AH51</f>
        <v>0</v>
      </c>
      <c r="DA51">
        <f>AL51</f>
        <v>1</v>
      </c>
      <c r="DB51">
        <f t="shared" ref="DB51:DB58" si="6">ROUND((ROUND(AT51*CZ51,2)*1.25),2)</f>
        <v>0</v>
      </c>
      <c r="DC51">
        <f t="shared" ref="DC51:DC58" si="7">ROUND((ROUND(AT51*AG51,2)*1.25),2)</f>
        <v>0</v>
      </c>
    </row>
    <row r="52" spans="1:107" x14ac:dyDescent="0.2">
      <c r="A52">
        <f>ROW(Source!A114)</f>
        <v>114</v>
      </c>
      <c r="B52">
        <v>39201625</v>
      </c>
      <c r="C52">
        <v>39202334</v>
      </c>
      <c r="D52">
        <v>26553813</v>
      </c>
      <c r="E52">
        <v>1</v>
      </c>
      <c r="F52">
        <v>1</v>
      </c>
      <c r="G52">
        <v>1</v>
      </c>
      <c r="H52">
        <v>2</v>
      </c>
      <c r="I52" t="s">
        <v>446</v>
      </c>
      <c r="J52" t="s">
        <v>447</v>
      </c>
      <c r="K52" t="s">
        <v>448</v>
      </c>
      <c r="L52">
        <v>26553684</v>
      </c>
      <c r="N52">
        <v>1013</v>
      </c>
      <c r="O52" t="s">
        <v>387</v>
      </c>
      <c r="P52" t="s">
        <v>387</v>
      </c>
      <c r="Q52">
        <v>1</v>
      </c>
      <c r="W52">
        <v>0</v>
      </c>
      <c r="X52">
        <v>79867837</v>
      </c>
      <c r="Y52">
        <v>6.25E-2</v>
      </c>
      <c r="AA52">
        <v>0</v>
      </c>
      <c r="AB52">
        <v>111.75</v>
      </c>
      <c r="AC52">
        <v>13.26</v>
      </c>
      <c r="AD52">
        <v>0</v>
      </c>
      <c r="AE52">
        <v>0</v>
      </c>
      <c r="AF52">
        <v>111.75</v>
      </c>
      <c r="AG52">
        <v>13.26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0.05</v>
      </c>
      <c r="AU52" t="s">
        <v>12</v>
      </c>
      <c r="AV52">
        <v>0</v>
      </c>
      <c r="AW52">
        <v>2</v>
      </c>
      <c r="AX52">
        <v>39202351</v>
      </c>
      <c r="AY52">
        <v>1</v>
      </c>
      <c r="AZ52">
        <v>0</v>
      </c>
      <c r="BA52">
        <v>53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Y52*Source!I114</f>
        <v>6.8287500000000001E-2</v>
      </c>
      <c r="CY52">
        <f t="shared" ref="CY52:CY58" si="8">AB52</f>
        <v>111.75</v>
      </c>
      <c r="CZ52">
        <f t="shared" ref="CZ52:CZ58" si="9">AF52</f>
        <v>111.75</v>
      </c>
      <c r="DA52">
        <f t="shared" ref="DA52:DA58" si="10">AJ52</f>
        <v>1</v>
      </c>
      <c r="DB52">
        <f t="shared" si="6"/>
        <v>6.99</v>
      </c>
      <c r="DC52">
        <f t="shared" si="7"/>
        <v>0.83</v>
      </c>
    </row>
    <row r="53" spans="1:107" x14ac:dyDescent="0.2">
      <c r="A53">
        <f>ROW(Source!A114)</f>
        <v>114</v>
      </c>
      <c r="B53">
        <v>39201625</v>
      </c>
      <c r="C53">
        <v>39202334</v>
      </c>
      <c r="D53">
        <v>26554401</v>
      </c>
      <c r="E53">
        <v>1</v>
      </c>
      <c r="F53">
        <v>1</v>
      </c>
      <c r="G53">
        <v>1</v>
      </c>
      <c r="H53">
        <v>2</v>
      </c>
      <c r="I53" t="s">
        <v>449</v>
      </c>
      <c r="J53" t="s">
        <v>450</v>
      </c>
      <c r="K53" t="s">
        <v>451</v>
      </c>
      <c r="L53">
        <v>26553684</v>
      </c>
      <c r="N53">
        <v>1013</v>
      </c>
      <c r="O53" t="s">
        <v>387</v>
      </c>
      <c r="P53" t="s">
        <v>387</v>
      </c>
      <c r="Q53">
        <v>1</v>
      </c>
      <c r="W53">
        <v>0</v>
      </c>
      <c r="X53">
        <v>1841967113</v>
      </c>
      <c r="Y53">
        <v>1.75</v>
      </c>
      <c r="AA53">
        <v>0</v>
      </c>
      <c r="AB53">
        <v>17.2</v>
      </c>
      <c r="AC53">
        <v>0</v>
      </c>
      <c r="AD53">
        <v>0</v>
      </c>
      <c r="AE53">
        <v>0</v>
      </c>
      <c r="AF53">
        <v>17.2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1.4</v>
      </c>
      <c r="AU53" t="s">
        <v>12</v>
      </c>
      <c r="AV53">
        <v>0</v>
      </c>
      <c r="AW53">
        <v>2</v>
      </c>
      <c r="AX53">
        <v>39202352</v>
      </c>
      <c r="AY53">
        <v>1</v>
      </c>
      <c r="AZ53">
        <v>0</v>
      </c>
      <c r="BA53">
        <v>54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Y53*Source!I114</f>
        <v>1.91205</v>
      </c>
      <c r="CY53">
        <f t="shared" si="8"/>
        <v>17.2</v>
      </c>
      <c r="CZ53">
        <f t="shared" si="9"/>
        <v>17.2</v>
      </c>
      <c r="DA53">
        <f t="shared" si="10"/>
        <v>1</v>
      </c>
      <c r="DB53">
        <f t="shared" si="6"/>
        <v>30.1</v>
      </c>
      <c r="DC53">
        <f t="shared" si="7"/>
        <v>0</v>
      </c>
    </row>
    <row r="54" spans="1:107" x14ac:dyDescent="0.2">
      <c r="A54">
        <f>ROW(Source!A114)</f>
        <v>114</v>
      </c>
      <c r="B54">
        <v>39201625</v>
      </c>
      <c r="C54">
        <v>39202334</v>
      </c>
      <c r="D54">
        <v>26554420</v>
      </c>
      <c r="E54">
        <v>1</v>
      </c>
      <c r="F54">
        <v>1</v>
      </c>
      <c r="G54">
        <v>1</v>
      </c>
      <c r="H54">
        <v>2</v>
      </c>
      <c r="I54" t="s">
        <v>452</v>
      </c>
      <c r="J54" t="s">
        <v>453</v>
      </c>
      <c r="K54" t="s">
        <v>454</v>
      </c>
      <c r="L54">
        <v>26553684</v>
      </c>
      <c r="N54">
        <v>1013</v>
      </c>
      <c r="O54" t="s">
        <v>387</v>
      </c>
      <c r="P54" t="s">
        <v>387</v>
      </c>
      <c r="Q54">
        <v>1</v>
      </c>
      <c r="W54">
        <v>0</v>
      </c>
      <c r="X54">
        <v>-1180297261</v>
      </c>
      <c r="Y54">
        <v>4.95</v>
      </c>
      <c r="AA54">
        <v>0</v>
      </c>
      <c r="AB54">
        <v>74.78</v>
      </c>
      <c r="AC54">
        <v>11.38</v>
      </c>
      <c r="AD54">
        <v>0</v>
      </c>
      <c r="AE54">
        <v>0</v>
      </c>
      <c r="AF54">
        <v>74.78</v>
      </c>
      <c r="AG54">
        <v>11.38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3.96</v>
      </c>
      <c r="AU54" t="s">
        <v>12</v>
      </c>
      <c r="AV54">
        <v>0</v>
      </c>
      <c r="AW54">
        <v>2</v>
      </c>
      <c r="AX54">
        <v>39202353</v>
      </c>
      <c r="AY54">
        <v>1</v>
      </c>
      <c r="AZ54">
        <v>0</v>
      </c>
      <c r="BA54">
        <v>55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Y54*Source!I114</f>
        <v>5.4083700000000006</v>
      </c>
      <c r="CY54">
        <f t="shared" si="8"/>
        <v>74.78</v>
      </c>
      <c r="CZ54">
        <f t="shared" si="9"/>
        <v>74.78</v>
      </c>
      <c r="DA54">
        <f t="shared" si="10"/>
        <v>1</v>
      </c>
      <c r="DB54">
        <f t="shared" si="6"/>
        <v>370.16</v>
      </c>
      <c r="DC54">
        <f t="shared" si="7"/>
        <v>56.33</v>
      </c>
    </row>
    <row r="55" spans="1:107" x14ac:dyDescent="0.2">
      <c r="A55">
        <f>ROW(Source!A114)</f>
        <v>114</v>
      </c>
      <c r="B55">
        <v>39201625</v>
      </c>
      <c r="C55">
        <v>39202334</v>
      </c>
      <c r="D55">
        <v>26554421</v>
      </c>
      <c r="E55">
        <v>1</v>
      </c>
      <c r="F55">
        <v>1</v>
      </c>
      <c r="G55">
        <v>1</v>
      </c>
      <c r="H55">
        <v>2</v>
      </c>
      <c r="I55" t="s">
        <v>455</v>
      </c>
      <c r="J55" t="s">
        <v>456</v>
      </c>
      <c r="K55" t="s">
        <v>457</v>
      </c>
      <c r="L55">
        <v>26553684</v>
      </c>
      <c r="N55">
        <v>1013</v>
      </c>
      <c r="O55" t="s">
        <v>387</v>
      </c>
      <c r="P55" t="s">
        <v>387</v>
      </c>
      <c r="Q55">
        <v>1</v>
      </c>
      <c r="W55">
        <v>0</v>
      </c>
      <c r="X55">
        <v>73143315</v>
      </c>
      <c r="Y55">
        <v>14.387499999999999</v>
      </c>
      <c r="AA55">
        <v>0</v>
      </c>
      <c r="AB55">
        <v>120.74</v>
      </c>
      <c r="AC55">
        <v>14.14</v>
      </c>
      <c r="AD55">
        <v>0</v>
      </c>
      <c r="AE55">
        <v>0</v>
      </c>
      <c r="AF55">
        <v>120.74</v>
      </c>
      <c r="AG55">
        <v>14.14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11.51</v>
      </c>
      <c r="AU55" t="s">
        <v>12</v>
      </c>
      <c r="AV55">
        <v>0</v>
      </c>
      <c r="AW55">
        <v>2</v>
      </c>
      <c r="AX55">
        <v>39202354</v>
      </c>
      <c r="AY55">
        <v>1</v>
      </c>
      <c r="AZ55">
        <v>0</v>
      </c>
      <c r="BA55">
        <v>56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Y55*Source!I114</f>
        <v>15.719782499999999</v>
      </c>
      <c r="CY55">
        <f t="shared" si="8"/>
        <v>120.74</v>
      </c>
      <c r="CZ55">
        <f t="shared" si="9"/>
        <v>120.74</v>
      </c>
      <c r="DA55">
        <f t="shared" si="10"/>
        <v>1</v>
      </c>
      <c r="DB55">
        <f t="shared" si="6"/>
        <v>1737.15</v>
      </c>
      <c r="DC55">
        <f t="shared" si="7"/>
        <v>203.44</v>
      </c>
    </row>
    <row r="56" spans="1:107" x14ac:dyDescent="0.2">
      <c r="A56">
        <f>ROW(Source!A114)</f>
        <v>114</v>
      </c>
      <c r="B56">
        <v>39201625</v>
      </c>
      <c r="C56">
        <v>39202334</v>
      </c>
      <c r="D56">
        <v>26554486</v>
      </c>
      <c r="E56">
        <v>1</v>
      </c>
      <c r="F56">
        <v>1</v>
      </c>
      <c r="G56">
        <v>1</v>
      </c>
      <c r="H56">
        <v>2</v>
      </c>
      <c r="I56" t="s">
        <v>399</v>
      </c>
      <c r="J56" t="s">
        <v>400</v>
      </c>
      <c r="K56" t="s">
        <v>401</v>
      </c>
      <c r="L56">
        <v>26553684</v>
      </c>
      <c r="N56">
        <v>1013</v>
      </c>
      <c r="O56" t="s">
        <v>387</v>
      </c>
      <c r="P56" t="s">
        <v>387</v>
      </c>
      <c r="Q56">
        <v>1</v>
      </c>
      <c r="W56">
        <v>0</v>
      </c>
      <c r="X56">
        <v>-1654342457</v>
      </c>
      <c r="Y56">
        <v>0.48750000000000004</v>
      </c>
      <c r="AA56">
        <v>0</v>
      </c>
      <c r="AB56">
        <v>110</v>
      </c>
      <c r="AC56">
        <v>11.38</v>
      </c>
      <c r="AD56">
        <v>0</v>
      </c>
      <c r="AE56">
        <v>0</v>
      </c>
      <c r="AF56">
        <v>110</v>
      </c>
      <c r="AG56">
        <v>11.38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0.39</v>
      </c>
      <c r="AU56" t="s">
        <v>12</v>
      </c>
      <c r="AV56">
        <v>0</v>
      </c>
      <c r="AW56">
        <v>2</v>
      </c>
      <c r="AX56">
        <v>39202355</v>
      </c>
      <c r="AY56">
        <v>1</v>
      </c>
      <c r="AZ56">
        <v>0</v>
      </c>
      <c r="BA56">
        <v>57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Y56*Source!I114</f>
        <v>0.53264250000000002</v>
      </c>
      <c r="CY56">
        <f t="shared" si="8"/>
        <v>110</v>
      </c>
      <c r="CZ56">
        <f t="shared" si="9"/>
        <v>110</v>
      </c>
      <c r="DA56">
        <f t="shared" si="10"/>
        <v>1</v>
      </c>
      <c r="DB56">
        <f t="shared" si="6"/>
        <v>53.63</v>
      </c>
      <c r="DC56">
        <f t="shared" si="7"/>
        <v>5.55</v>
      </c>
    </row>
    <row r="57" spans="1:107" x14ac:dyDescent="0.2">
      <c r="A57">
        <f>ROW(Source!A114)</f>
        <v>114</v>
      </c>
      <c r="B57">
        <v>39201625</v>
      </c>
      <c r="C57">
        <v>39202334</v>
      </c>
      <c r="D57">
        <v>26554510</v>
      </c>
      <c r="E57">
        <v>1</v>
      </c>
      <c r="F57">
        <v>1</v>
      </c>
      <c r="G57">
        <v>1</v>
      </c>
      <c r="H57">
        <v>2</v>
      </c>
      <c r="I57" t="s">
        <v>458</v>
      </c>
      <c r="J57" t="s">
        <v>459</v>
      </c>
      <c r="K57" t="s">
        <v>460</v>
      </c>
      <c r="L57">
        <v>26553684</v>
      </c>
      <c r="N57">
        <v>1013</v>
      </c>
      <c r="O57" t="s">
        <v>387</v>
      </c>
      <c r="P57" t="s">
        <v>387</v>
      </c>
      <c r="Q57">
        <v>1</v>
      </c>
      <c r="W57">
        <v>0</v>
      </c>
      <c r="X57">
        <v>1326099191</v>
      </c>
      <c r="Y57">
        <v>3.9874999999999998</v>
      </c>
      <c r="AA57">
        <v>0</v>
      </c>
      <c r="AB57">
        <v>194.94</v>
      </c>
      <c r="AC57">
        <v>14.14</v>
      </c>
      <c r="AD57">
        <v>0</v>
      </c>
      <c r="AE57">
        <v>0</v>
      </c>
      <c r="AF57">
        <v>194.94</v>
      </c>
      <c r="AG57">
        <v>14.14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3.19</v>
      </c>
      <c r="AU57" t="s">
        <v>12</v>
      </c>
      <c r="AV57">
        <v>0</v>
      </c>
      <c r="AW57">
        <v>2</v>
      </c>
      <c r="AX57">
        <v>39202356</v>
      </c>
      <c r="AY57">
        <v>1</v>
      </c>
      <c r="AZ57">
        <v>0</v>
      </c>
      <c r="BA57">
        <v>58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Y57*Source!I114</f>
        <v>4.3567425000000002</v>
      </c>
      <c r="CY57">
        <f t="shared" si="8"/>
        <v>194.94</v>
      </c>
      <c r="CZ57">
        <f t="shared" si="9"/>
        <v>194.94</v>
      </c>
      <c r="DA57">
        <f t="shared" si="10"/>
        <v>1</v>
      </c>
      <c r="DB57">
        <f t="shared" si="6"/>
        <v>777.33</v>
      </c>
      <c r="DC57">
        <f t="shared" si="7"/>
        <v>56.39</v>
      </c>
    </row>
    <row r="58" spans="1:107" x14ac:dyDescent="0.2">
      <c r="A58">
        <f>ROW(Source!A114)</f>
        <v>114</v>
      </c>
      <c r="B58">
        <v>39201625</v>
      </c>
      <c r="C58">
        <v>39202334</v>
      </c>
      <c r="D58">
        <v>26555822</v>
      </c>
      <c r="E58">
        <v>1</v>
      </c>
      <c r="F58">
        <v>1</v>
      </c>
      <c r="G58">
        <v>1</v>
      </c>
      <c r="H58">
        <v>2</v>
      </c>
      <c r="I58" t="s">
        <v>461</v>
      </c>
      <c r="J58" t="s">
        <v>462</v>
      </c>
      <c r="K58" t="s">
        <v>463</v>
      </c>
      <c r="L58">
        <v>26553684</v>
      </c>
      <c r="N58">
        <v>1013</v>
      </c>
      <c r="O58" t="s">
        <v>387</v>
      </c>
      <c r="P58" t="s">
        <v>387</v>
      </c>
      <c r="Q58">
        <v>1</v>
      </c>
      <c r="W58">
        <v>0</v>
      </c>
      <c r="X58">
        <v>210745813</v>
      </c>
      <c r="Y58">
        <v>0.1</v>
      </c>
      <c r="AA58">
        <v>0</v>
      </c>
      <c r="AB58">
        <v>86.55</v>
      </c>
      <c r="AC58">
        <v>0</v>
      </c>
      <c r="AD58">
        <v>0</v>
      </c>
      <c r="AE58">
        <v>0</v>
      </c>
      <c r="AF58">
        <v>86.55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0.08</v>
      </c>
      <c r="AU58" t="s">
        <v>12</v>
      </c>
      <c r="AV58">
        <v>0</v>
      </c>
      <c r="AW58">
        <v>2</v>
      </c>
      <c r="AX58">
        <v>39202357</v>
      </c>
      <c r="AY58">
        <v>1</v>
      </c>
      <c r="AZ58">
        <v>0</v>
      </c>
      <c r="BA58">
        <v>59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Y58*Source!I114</f>
        <v>0.10926000000000001</v>
      </c>
      <c r="CY58">
        <f t="shared" si="8"/>
        <v>86.55</v>
      </c>
      <c r="CZ58">
        <f t="shared" si="9"/>
        <v>86.55</v>
      </c>
      <c r="DA58">
        <f t="shared" si="10"/>
        <v>1</v>
      </c>
      <c r="DB58">
        <f t="shared" si="6"/>
        <v>8.65</v>
      </c>
      <c r="DC58">
        <f t="shared" si="7"/>
        <v>0</v>
      </c>
    </row>
    <row r="59" spans="1:107" x14ac:dyDescent="0.2">
      <c r="A59">
        <f>ROW(Source!A114)</f>
        <v>114</v>
      </c>
      <c r="B59">
        <v>39201625</v>
      </c>
      <c r="C59">
        <v>39202334</v>
      </c>
      <c r="D59">
        <v>26557125</v>
      </c>
      <c r="E59">
        <v>1</v>
      </c>
      <c r="F59">
        <v>1</v>
      </c>
      <c r="G59">
        <v>1</v>
      </c>
      <c r="H59">
        <v>3</v>
      </c>
      <c r="I59" t="s">
        <v>464</v>
      </c>
      <c r="J59" t="s">
        <v>465</v>
      </c>
      <c r="K59" t="s">
        <v>466</v>
      </c>
      <c r="L59">
        <v>1348</v>
      </c>
      <c r="N59">
        <v>1009</v>
      </c>
      <c r="O59" t="s">
        <v>169</v>
      </c>
      <c r="P59" t="s">
        <v>169</v>
      </c>
      <c r="Q59">
        <v>1000</v>
      </c>
      <c r="W59">
        <v>0</v>
      </c>
      <c r="X59">
        <v>2008156472</v>
      </c>
      <c r="Y59">
        <v>2.7799999999999999E-3</v>
      </c>
      <c r="AA59">
        <v>2407.44</v>
      </c>
      <c r="AB59">
        <v>0</v>
      </c>
      <c r="AC59">
        <v>0</v>
      </c>
      <c r="AD59">
        <v>0</v>
      </c>
      <c r="AE59">
        <v>2407.44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2.7799999999999999E-3</v>
      </c>
      <c r="AU59" t="s">
        <v>3</v>
      </c>
      <c r="AV59">
        <v>0</v>
      </c>
      <c r="AW59">
        <v>2</v>
      </c>
      <c r="AX59">
        <v>39202358</v>
      </c>
      <c r="AY59">
        <v>1</v>
      </c>
      <c r="AZ59">
        <v>0</v>
      </c>
      <c r="BA59">
        <v>60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Y59*Source!I114</f>
        <v>3.037428E-3</v>
      </c>
      <c r="CY59">
        <f>AA59</f>
        <v>2407.44</v>
      </c>
      <c r="CZ59">
        <f>AE59</f>
        <v>2407.44</v>
      </c>
      <c r="DA59">
        <f>AI59</f>
        <v>1</v>
      </c>
      <c r="DB59">
        <f>ROUND(ROUND(AT59*CZ59,2),2)</f>
        <v>6.69</v>
      </c>
      <c r="DC59">
        <f>ROUND(ROUND(AT59*AG59,2),2)</f>
        <v>0</v>
      </c>
    </row>
    <row r="60" spans="1:107" x14ac:dyDescent="0.2">
      <c r="A60">
        <f>ROW(Source!A114)</f>
        <v>114</v>
      </c>
      <c r="B60">
        <v>39201625</v>
      </c>
      <c r="C60">
        <v>39202334</v>
      </c>
      <c r="D60">
        <v>26557685</v>
      </c>
      <c r="E60">
        <v>1</v>
      </c>
      <c r="F60">
        <v>1</v>
      </c>
      <c r="G60">
        <v>1</v>
      </c>
      <c r="H60">
        <v>3</v>
      </c>
      <c r="I60" t="s">
        <v>467</v>
      </c>
      <c r="J60" t="s">
        <v>468</v>
      </c>
      <c r="K60" t="s">
        <v>469</v>
      </c>
      <c r="L60">
        <v>1348</v>
      </c>
      <c r="N60">
        <v>1009</v>
      </c>
      <c r="O60" t="s">
        <v>169</v>
      </c>
      <c r="P60" t="s">
        <v>169</v>
      </c>
      <c r="Q60">
        <v>1000</v>
      </c>
      <c r="W60">
        <v>0</v>
      </c>
      <c r="X60">
        <v>314505374</v>
      </c>
      <c r="Y60">
        <v>2.14E-3</v>
      </c>
      <c r="AA60">
        <v>5469.5</v>
      </c>
      <c r="AB60">
        <v>0</v>
      </c>
      <c r="AC60">
        <v>0</v>
      </c>
      <c r="AD60">
        <v>0</v>
      </c>
      <c r="AE60">
        <v>5469.5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2.14E-3</v>
      </c>
      <c r="AU60" t="s">
        <v>3</v>
      </c>
      <c r="AV60">
        <v>0</v>
      </c>
      <c r="AW60">
        <v>2</v>
      </c>
      <c r="AX60">
        <v>39202359</v>
      </c>
      <c r="AY60">
        <v>1</v>
      </c>
      <c r="AZ60">
        <v>0</v>
      </c>
      <c r="BA60">
        <v>61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Y60*Source!I114</f>
        <v>2.3381640000000002E-3</v>
      </c>
      <c r="CY60">
        <f>AA60</f>
        <v>5469.5</v>
      </c>
      <c r="CZ60">
        <f>AE60</f>
        <v>5469.5</v>
      </c>
      <c r="DA60">
        <f>AI60</f>
        <v>1</v>
      </c>
      <c r="DB60">
        <f>ROUND(ROUND(AT60*CZ60,2),2)</f>
        <v>11.7</v>
      </c>
      <c r="DC60">
        <f>ROUND(ROUND(AT60*AG60,2),2)</f>
        <v>0</v>
      </c>
    </row>
    <row r="61" spans="1:107" x14ac:dyDescent="0.2">
      <c r="A61">
        <f>ROW(Source!A114)</f>
        <v>114</v>
      </c>
      <c r="B61">
        <v>39201625</v>
      </c>
      <c r="C61">
        <v>39202334</v>
      </c>
      <c r="D61">
        <v>26558499</v>
      </c>
      <c r="E61">
        <v>1</v>
      </c>
      <c r="F61">
        <v>1</v>
      </c>
      <c r="G61">
        <v>1</v>
      </c>
      <c r="H61">
        <v>3</v>
      </c>
      <c r="I61" t="s">
        <v>470</v>
      </c>
      <c r="J61" t="s">
        <v>471</v>
      </c>
      <c r="K61" t="s">
        <v>472</v>
      </c>
      <c r="L61">
        <v>1348</v>
      </c>
      <c r="N61">
        <v>1009</v>
      </c>
      <c r="O61" t="s">
        <v>169</v>
      </c>
      <c r="P61" t="s">
        <v>169</v>
      </c>
      <c r="Q61">
        <v>1000</v>
      </c>
      <c r="W61">
        <v>0</v>
      </c>
      <c r="X61">
        <v>-1858712530</v>
      </c>
      <c r="Y61">
        <v>1.0800000000000001E-2</v>
      </c>
      <c r="AA61">
        <v>1559.03</v>
      </c>
      <c r="AB61">
        <v>0</v>
      </c>
      <c r="AC61">
        <v>0</v>
      </c>
      <c r="AD61">
        <v>0</v>
      </c>
      <c r="AE61">
        <v>1559.03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1.0800000000000001E-2</v>
      </c>
      <c r="AU61" t="s">
        <v>3</v>
      </c>
      <c r="AV61">
        <v>0</v>
      </c>
      <c r="AW61">
        <v>2</v>
      </c>
      <c r="AX61">
        <v>39202360</v>
      </c>
      <c r="AY61">
        <v>1</v>
      </c>
      <c r="AZ61">
        <v>0</v>
      </c>
      <c r="BA61">
        <v>62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Y61*Source!I114</f>
        <v>1.1800080000000001E-2</v>
      </c>
      <c r="CY61">
        <f>AA61</f>
        <v>1559.03</v>
      </c>
      <c r="CZ61">
        <f>AE61</f>
        <v>1559.03</v>
      </c>
      <c r="DA61">
        <f>AI61</f>
        <v>1</v>
      </c>
      <c r="DB61">
        <f>ROUND(ROUND(AT61*CZ61,2),2)</f>
        <v>16.84</v>
      </c>
      <c r="DC61">
        <f>ROUND(ROUND(AT61*AG61,2),2)</f>
        <v>0</v>
      </c>
    </row>
    <row r="62" spans="1:107" x14ac:dyDescent="0.2">
      <c r="A62">
        <f>ROW(Source!A114)</f>
        <v>114</v>
      </c>
      <c r="B62">
        <v>39201625</v>
      </c>
      <c r="C62">
        <v>39202334</v>
      </c>
      <c r="D62">
        <v>26565908</v>
      </c>
      <c r="E62">
        <v>1</v>
      </c>
      <c r="F62">
        <v>1</v>
      </c>
      <c r="G62">
        <v>1</v>
      </c>
      <c r="H62">
        <v>3</v>
      </c>
      <c r="I62" t="s">
        <v>473</v>
      </c>
      <c r="J62" t="s">
        <v>474</v>
      </c>
      <c r="K62" t="s">
        <v>475</v>
      </c>
      <c r="L62">
        <v>1339</v>
      </c>
      <c r="N62">
        <v>1007</v>
      </c>
      <c r="O62" t="s">
        <v>130</v>
      </c>
      <c r="P62" t="s">
        <v>130</v>
      </c>
      <c r="Q62">
        <v>1</v>
      </c>
      <c r="W62">
        <v>0</v>
      </c>
      <c r="X62">
        <v>1115862217</v>
      </c>
      <c r="Y62">
        <v>0.28999999999999998</v>
      </c>
      <c r="AA62">
        <v>1173.28</v>
      </c>
      <c r="AB62">
        <v>0</v>
      </c>
      <c r="AC62">
        <v>0</v>
      </c>
      <c r="AD62">
        <v>0</v>
      </c>
      <c r="AE62">
        <v>1173.28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0.28999999999999998</v>
      </c>
      <c r="AU62" t="s">
        <v>3</v>
      </c>
      <c r="AV62">
        <v>0</v>
      </c>
      <c r="AW62">
        <v>2</v>
      </c>
      <c r="AX62">
        <v>39202361</v>
      </c>
      <c r="AY62">
        <v>1</v>
      </c>
      <c r="AZ62">
        <v>0</v>
      </c>
      <c r="BA62">
        <v>63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Y62*Source!I114</f>
        <v>0.31685399999999997</v>
      </c>
      <c r="CY62">
        <f>AA62</f>
        <v>1173.28</v>
      </c>
      <c r="CZ62">
        <f>AE62</f>
        <v>1173.28</v>
      </c>
      <c r="DA62">
        <f>AI62</f>
        <v>1</v>
      </c>
      <c r="DB62">
        <f>ROUND(ROUND(AT62*CZ62,2),2)</f>
        <v>340.25</v>
      </c>
      <c r="DC62">
        <f>ROUND(ROUND(AT62*AG62,2),2)</f>
        <v>0</v>
      </c>
    </row>
    <row r="63" spans="1:107" x14ac:dyDescent="0.2">
      <c r="A63">
        <f>ROW(Source!A114)</f>
        <v>114</v>
      </c>
      <c r="B63">
        <v>39201625</v>
      </c>
      <c r="C63">
        <v>39202334</v>
      </c>
      <c r="D63">
        <v>26608025</v>
      </c>
      <c r="E63">
        <v>1</v>
      </c>
      <c r="F63">
        <v>1</v>
      </c>
      <c r="G63">
        <v>1</v>
      </c>
      <c r="H63">
        <v>3</v>
      </c>
      <c r="I63" t="s">
        <v>476</v>
      </c>
      <c r="J63" t="s">
        <v>477</v>
      </c>
      <c r="K63" t="s">
        <v>478</v>
      </c>
      <c r="L63">
        <v>1348</v>
      </c>
      <c r="N63">
        <v>1009</v>
      </c>
      <c r="O63" t="s">
        <v>169</v>
      </c>
      <c r="P63" t="s">
        <v>169</v>
      </c>
      <c r="Q63">
        <v>1000</v>
      </c>
      <c r="W63">
        <v>0</v>
      </c>
      <c r="X63">
        <v>691979004</v>
      </c>
      <c r="Y63">
        <v>93.7</v>
      </c>
      <c r="AA63">
        <v>432.35</v>
      </c>
      <c r="AB63">
        <v>0</v>
      </c>
      <c r="AC63">
        <v>0</v>
      </c>
      <c r="AD63">
        <v>0</v>
      </c>
      <c r="AE63">
        <v>432.35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93.7</v>
      </c>
      <c r="AU63" t="s">
        <v>3</v>
      </c>
      <c r="AV63">
        <v>0</v>
      </c>
      <c r="AW63">
        <v>2</v>
      </c>
      <c r="AX63">
        <v>39202362</v>
      </c>
      <c r="AY63">
        <v>1</v>
      </c>
      <c r="AZ63">
        <v>0</v>
      </c>
      <c r="BA63">
        <v>64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Y63*Source!I114</f>
        <v>102.37662</v>
      </c>
      <c r="CY63">
        <f>AA63</f>
        <v>432.35</v>
      </c>
      <c r="CZ63">
        <f>AE63</f>
        <v>432.35</v>
      </c>
      <c r="DA63">
        <f>AI63</f>
        <v>1</v>
      </c>
      <c r="DB63">
        <f>ROUND(ROUND(AT63*CZ63,2),2)</f>
        <v>40511.199999999997</v>
      </c>
      <c r="DC63">
        <f>ROUND(ROUND(AT63*AG63,2),2)</f>
        <v>0</v>
      </c>
    </row>
    <row r="64" spans="1:107" x14ac:dyDescent="0.2">
      <c r="A64">
        <f>ROW(Source!A115)</f>
        <v>115</v>
      </c>
      <c r="B64">
        <v>39201625</v>
      </c>
      <c r="C64">
        <v>39202363</v>
      </c>
      <c r="D64">
        <v>24225483</v>
      </c>
      <c r="E64">
        <v>1</v>
      </c>
      <c r="F64">
        <v>1</v>
      </c>
      <c r="G64">
        <v>1</v>
      </c>
      <c r="H64">
        <v>1</v>
      </c>
      <c r="I64" t="s">
        <v>444</v>
      </c>
      <c r="J64" t="s">
        <v>3</v>
      </c>
      <c r="K64" t="s">
        <v>445</v>
      </c>
      <c r="L64">
        <v>1476</v>
      </c>
      <c r="N64">
        <v>1013</v>
      </c>
      <c r="O64" t="s">
        <v>380</v>
      </c>
      <c r="P64" t="s">
        <v>381</v>
      </c>
      <c r="Q64">
        <v>1</v>
      </c>
      <c r="W64">
        <v>0</v>
      </c>
      <c r="X64">
        <v>-980287603</v>
      </c>
      <c r="Y64">
        <v>0.20699999999999999</v>
      </c>
      <c r="AA64">
        <v>0</v>
      </c>
      <c r="AB64">
        <v>0</v>
      </c>
      <c r="AC64">
        <v>0</v>
      </c>
      <c r="AD64">
        <v>7.83</v>
      </c>
      <c r="AE64">
        <v>0</v>
      </c>
      <c r="AF64">
        <v>0</v>
      </c>
      <c r="AG64">
        <v>0</v>
      </c>
      <c r="AH64">
        <v>7.83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0.09</v>
      </c>
      <c r="AU64" t="s">
        <v>160</v>
      </c>
      <c r="AV64">
        <v>1</v>
      </c>
      <c r="AW64">
        <v>2</v>
      </c>
      <c r="AX64">
        <v>39202367</v>
      </c>
      <c r="AY64">
        <v>1</v>
      </c>
      <c r="AZ64">
        <v>0</v>
      </c>
      <c r="BA64">
        <v>65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Y64*Source!I115</f>
        <v>0.22616819999999999</v>
      </c>
      <c r="CY64">
        <f>AD64</f>
        <v>7.83</v>
      </c>
      <c r="CZ64">
        <f>AH64</f>
        <v>7.83</v>
      </c>
      <c r="DA64">
        <f>AL64</f>
        <v>1</v>
      </c>
      <c r="DB64">
        <f>ROUND(((ROUND(AT64*CZ64,2)*1.15)*2),2)</f>
        <v>1.61</v>
      </c>
      <c r="DC64">
        <f>ROUND(((ROUND(AT64*AG64,2)*1.15)*2),2)</f>
        <v>0</v>
      </c>
    </row>
    <row r="65" spans="1:107" x14ac:dyDescent="0.2">
      <c r="A65">
        <f>ROW(Source!A115)</f>
        <v>115</v>
      </c>
      <c r="B65">
        <v>39201625</v>
      </c>
      <c r="C65">
        <v>39202363</v>
      </c>
      <c r="D65">
        <v>26558499</v>
      </c>
      <c r="E65">
        <v>1</v>
      </c>
      <c r="F65">
        <v>1</v>
      </c>
      <c r="G65">
        <v>1</v>
      </c>
      <c r="H65">
        <v>3</v>
      </c>
      <c r="I65" t="s">
        <v>470</v>
      </c>
      <c r="J65" t="s">
        <v>471</v>
      </c>
      <c r="K65" t="s">
        <v>472</v>
      </c>
      <c r="L65">
        <v>1348</v>
      </c>
      <c r="N65">
        <v>1009</v>
      </c>
      <c r="O65" t="s">
        <v>169</v>
      </c>
      <c r="P65" t="s">
        <v>169</v>
      </c>
      <c r="Q65">
        <v>1000</v>
      </c>
      <c r="W65">
        <v>0</v>
      </c>
      <c r="X65">
        <v>-1858712530</v>
      </c>
      <c r="Y65">
        <v>2.8E-3</v>
      </c>
      <c r="AA65">
        <v>1559.03</v>
      </c>
      <c r="AB65">
        <v>0</v>
      </c>
      <c r="AC65">
        <v>0</v>
      </c>
      <c r="AD65">
        <v>0</v>
      </c>
      <c r="AE65">
        <v>1559.03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1.4E-3</v>
      </c>
      <c r="AU65" t="s">
        <v>158</v>
      </c>
      <c r="AV65">
        <v>0</v>
      </c>
      <c r="AW65">
        <v>2</v>
      </c>
      <c r="AX65">
        <v>39202368</v>
      </c>
      <c r="AY65">
        <v>1</v>
      </c>
      <c r="AZ65">
        <v>0</v>
      </c>
      <c r="BA65">
        <v>66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Y65*Source!I115</f>
        <v>3.0592800000000002E-3</v>
      </c>
      <c r="CY65">
        <f>AA65</f>
        <v>1559.03</v>
      </c>
      <c r="CZ65">
        <f>AE65</f>
        <v>1559.03</v>
      </c>
      <c r="DA65">
        <f>AI65</f>
        <v>1</v>
      </c>
      <c r="DB65">
        <f>ROUND((ROUND(AT65*CZ65,2)*2),2)</f>
        <v>4.3600000000000003</v>
      </c>
      <c r="DC65">
        <f>ROUND((ROUND(AT65*AG65,2)*2),2)</f>
        <v>0</v>
      </c>
    </row>
    <row r="66" spans="1:107" x14ac:dyDescent="0.2">
      <c r="A66">
        <f>ROW(Source!A115)</f>
        <v>115</v>
      </c>
      <c r="B66">
        <v>39201625</v>
      </c>
      <c r="C66">
        <v>39202363</v>
      </c>
      <c r="D66">
        <v>26608025</v>
      </c>
      <c r="E66">
        <v>1</v>
      </c>
      <c r="F66">
        <v>1</v>
      </c>
      <c r="G66">
        <v>1</v>
      </c>
      <c r="H66">
        <v>3</v>
      </c>
      <c r="I66" t="s">
        <v>476</v>
      </c>
      <c r="J66" t="s">
        <v>477</v>
      </c>
      <c r="K66" t="s">
        <v>478</v>
      </c>
      <c r="L66">
        <v>1348</v>
      </c>
      <c r="N66">
        <v>1009</v>
      </c>
      <c r="O66" t="s">
        <v>169</v>
      </c>
      <c r="P66" t="s">
        <v>169</v>
      </c>
      <c r="Q66">
        <v>1000</v>
      </c>
      <c r="W66">
        <v>0</v>
      </c>
      <c r="X66">
        <v>691979004</v>
      </c>
      <c r="Y66">
        <v>23.4</v>
      </c>
      <c r="AA66">
        <v>432.35</v>
      </c>
      <c r="AB66">
        <v>0</v>
      </c>
      <c r="AC66">
        <v>0</v>
      </c>
      <c r="AD66">
        <v>0</v>
      </c>
      <c r="AE66">
        <v>432.35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11.7</v>
      </c>
      <c r="AU66" t="s">
        <v>158</v>
      </c>
      <c r="AV66">
        <v>0</v>
      </c>
      <c r="AW66">
        <v>2</v>
      </c>
      <c r="AX66">
        <v>39202369</v>
      </c>
      <c r="AY66">
        <v>1</v>
      </c>
      <c r="AZ66">
        <v>0</v>
      </c>
      <c r="BA66">
        <v>67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Y66*Source!I115</f>
        <v>25.566839999999999</v>
      </c>
      <c r="CY66">
        <f>AA66</f>
        <v>432.35</v>
      </c>
      <c r="CZ66">
        <f>AE66</f>
        <v>432.35</v>
      </c>
      <c r="DA66">
        <f>AI66</f>
        <v>1</v>
      </c>
      <c r="DB66">
        <f>ROUND((ROUND(AT66*CZ66,2)*2),2)</f>
        <v>10117</v>
      </c>
      <c r="DC66">
        <f>ROUND((ROUND(AT66*AG66,2)*2),2)</f>
        <v>0</v>
      </c>
    </row>
    <row r="67" spans="1:107" x14ac:dyDescent="0.2">
      <c r="A67">
        <f>ROW(Source!A116)</f>
        <v>116</v>
      </c>
      <c r="B67">
        <v>39201625</v>
      </c>
      <c r="C67">
        <v>39202370</v>
      </c>
      <c r="D67">
        <v>121548</v>
      </c>
      <c r="E67">
        <v>1</v>
      </c>
      <c r="F67">
        <v>1</v>
      </c>
      <c r="G67">
        <v>1</v>
      </c>
      <c r="H67">
        <v>1</v>
      </c>
      <c r="I67" t="s">
        <v>26</v>
      </c>
      <c r="J67" t="s">
        <v>3</v>
      </c>
      <c r="K67" t="s">
        <v>382</v>
      </c>
      <c r="L67">
        <v>608254</v>
      </c>
      <c r="N67">
        <v>1013</v>
      </c>
      <c r="O67" t="s">
        <v>383</v>
      </c>
      <c r="P67" t="s">
        <v>383</v>
      </c>
      <c r="Q67">
        <v>1</v>
      </c>
      <c r="W67">
        <v>0</v>
      </c>
      <c r="X67">
        <v>-185737400</v>
      </c>
      <c r="Y67">
        <v>0.82500000000000007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0.66</v>
      </c>
      <c r="AU67" t="s">
        <v>12</v>
      </c>
      <c r="AV67">
        <v>2</v>
      </c>
      <c r="AW67">
        <v>2</v>
      </c>
      <c r="AX67">
        <v>39202374</v>
      </c>
      <c r="AY67">
        <v>1</v>
      </c>
      <c r="AZ67">
        <v>0</v>
      </c>
      <c r="BA67">
        <v>68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Y67*Source!I116</f>
        <v>0.27043499999999998</v>
      </c>
      <c r="CY67">
        <f>AD67</f>
        <v>0</v>
      </c>
      <c r="CZ67">
        <f>AH67</f>
        <v>0</v>
      </c>
      <c r="DA67">
        <f>AL67</f>
        <v>1</v>
      </c>
      <c r="DB67">
        <f>ROUND((ROUND(AT67*CZ67,2)*1.25),2)</f>
        <v>0</v>
      </c>
      <c r="DC67">
        <f>ROUND((ROUND(AT67*AG67,2)*1.25),2)</f>
        <v>0</v>
      </c>
    </row>
    <row r="68" spans="1:107" x14ac:dyDescent="0.2">
      <c r="A68">
        <f>ROW(Source!A116)</f>
        <v>116</v>
      </c>
      <c r="B68">
        <v>39201625</v>
      </c>
      <c r="C68">
        <v>39202370</v>
      </c>
      <c r="D68">
        <v>26554388</v>
      </c>
      <c r="E68">
        <v>1</v>
      </c>
      <c r="F68">
        <v>1</v>
      </c>
      <c r="G68">
        <v>1</v>
      </c>
      <c r="H68">
        <v>2</v>
      </c>
      <c r="I68" t="s">
        <v>438</v>
      </c>
      <c r="J68" t="s">
        <v>439</v>
      </c>
      <c r="K68" t="s">
        <v>440</v>
      </c>
      <c r="L68">
        <v>26553684</v>
      </c>
      <c r="N68">
        <v>1013</v>
      </c>
      <c r="O68" t="s">
        <v>387</v>
      </c>
      <c r="P68" t="s">
        <v>387</v>
      </c>
      <c r="Q68">
        <v>1</v>
      </c>
      <c r="W68">
        <v>0</v>
      </c>
      <c r="X68">
        <v>72582067</v>
      </c>
      <c r="Y68">
        <v>0.41250000000000003</v>
      </c>
      <c r="AA68">
        <v>0</v>
      </c>
      <c r="AB68">
        <v>119.57</v>
      </c>
      <c r="AC68">
        <v>21.26</v>
      </c>
      <c r="AD68">
        <v>0</v>
      </c>
      <c r="AE68">
        <v>0</v>
      </c>
      <c r="AF68">
        <v>119.57</v>
      </c>
      <c r="AG68">
        <v>21.26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0.33</v>
      </c>
      <c r="AU68" t="s">
        <v>12</v>
      </c>
      <c r="AV68">
        <v>0</v>
      </c>
      <c r="AW68">
        <v>2</v>
      </c>
      <c r="AX68">
        <v>39202375</v>
      </c>
      <c r="AY68">
        <v>1</v>
      </c>
      <c r="AZ68">
        <v>0</v>
      </c>
      <c r="BA68">
        <v>69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Y68*Source!I116</f>
        <v>0.13521749999999999</v>
      </c>
      <c r="CY68">
        <f>AB68</f>
        <v>119.57</v>
      </c>
      <c r="CZ68">
        <f>AF68</f>
        <v>119.57</v>
      </c>
      <c r="DA68">
        <f>AJ68</f>
        <v>1</v>
      </c>
      <c r="DB68">
        <f>ROUND((ROUND(AT68*CZ68,2)*1.25),2)</f>
        <v>49.33</v>
      </c>
      <c r="DC68">
        <f>ROUND((ROUND(AT68*AG68,2)*1.25),2)</f>
        <v>8.7799999999999994</v>
      </c>
    </row>
    <row r="69" spans="1:107" x14ac:dyDescent="0.2">
      <c r="A69">
        <f>ROW(Source!A116)</f>
        <v>116</v>
      </c>
      <c r="B69">
        <v>39201625</v>
      </c>
      <c r="C69">
        <v>39202370</v>
      </c>
      <c r="D69">
        <v>26558501</v>
      </c>
      <c r="E69">
        <v>1</v>
      </c>
      <c r="F69">
        <v>1</v>
      </c>
      <c r="G69">
        <v>1</v>
      </c>
      <c r="H69">
        <v>3</v>
      </c>
      <c r="I69" t="s">
        <v>441</v>
      </c>
      <c r="J69" t="s">
        <v>442</v>
      </c>
      <c r="K69" t="s">
        <v>443</v>
      </c>
      <c r="L69">
        <v>1348</v>
      </c>
      <c r="N69">
        <v>1009</v>
      </c>
      <c r="O69" t="s">
        <v>169</v>
      </c>
      <c r="P69" t="s">
        <v>169</v>
      </c>
      <c r="Q69">
        <v>1000</v>
      </c>
      <c r="W69">
        <v>0</v>
      </c>
      <c r="X69">
        <v>-1734730509</v>
      </c>
      <c r="Y69">
        <v>1.03</v>
      </c>
      <c r="AA69">
        <v>1424.35</v>
      </c>
      <c r="AB69">
        <v>0</v>
      </c>
      <c r="AC69">
        <v>0</v>
      </c>
      <c r="AD69">
        <v>0</v>
      </c>
      <c r="AE69">
        <v>1424.35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1.03</v>
      </c>
      <c r="AU69" t="s">
        <v>3</v>
      </c>
      <c r="AV69">
        <v>0</v>
      </c>
      <c r="AW69">
        <v>2</v>
      </c>
      <c r="AX69">
        <v>39202376</v>
      </c>
      <c r="AY69">
        <v>1</v>
      </c>
      <c r="AZ69">
        <v>0</v>
      </c>
      <c r="BA69">
        <v>70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Y69*Source!I116</f>
        <v>0.33763399999999999</v>
      </c>
      <c r="CY69">
        <f>AA69</f>
        <v>1424.35</v>
      </c>
      <c r="CZ69">
        <f>AE69</f>
        <v>1424.35</v>
      </c>
      <c r="DA69">
        <f>AI69</f>
        <v>1</v>
      </c>
      <c r="DB69">
        <f>ROUND(ROUND(AT69*CZ69,2),2)</f>
        <v>1467.08</v>
      </c>
      <c r="DC69">
        <f>ROUND(ROUND(AT69*AG69,2),2)</f>
        <v>0</v>
      </c>
    </row>
    <row r="70" spans="1:107" x14ac:dyDescent="0.2">
      <c r="A70">
        <f>ROW(Source!A117)</f>
        <v>117</v>
      </c>
      <c r="B70">
        <v>39201625</v>
      </c>
      <c r="C70">
        <v>39202377</v>
      </c>
      <c r="D70">
        <v>24225483</v>
      </c>
      <c r="E70">
        <v>1</v>
      </c>
      <c r="F70">
        <v>1</v>
      </c>
      <c r="G70">
        <v>1</v>
      </c>
      <c r="H70">
        <v>1</v>
      </c>
      <c r="I70" t="s">
        <v>444</v>
      </c>
      <c r="J70" t="s">
        <v>3</v>
      </c>
      <c r="K70" t="s">
        <v>445</v>
      </c>
      <c r="L70">
        <v>1476</v>
      </c>
      <c r="N70">
        <v>1013</v>
      </c>
      <c r="O70" t="s">
        <v>380</v>
      </c>
      <c r="P70" t="s">
        <v>381</v>
      </c>
      <c r="Q70">
        <v>1</v>
      </c>
      <c r="W70">
        <v>0</v>
      </c>
      <c r="X70">
        <v>-980287603</v>
      </c>
      <c r="Y70">
        <v>44.044999999999995</v>
      </c>
      <c r="AA70">
        <v>0</v>
      </c>
      <c r="AB70">
        <v>0</v>
      </c>
      <c r="AC70">
        <v>0</v>
      </c>
      <c r="AD70">
        <v>7.83</v>
      </c>
      <c r="AE70">
        <v>0</v>
      </c>
      <c r="AF70">
        <v>0</v>
      </c>
      <c r="AG70">
        <v>0</v>
      </c>
      <c r="AH70">
        <v>7.83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38.299999999999997</v>
      </c>
      <c r="AU70" t="s">
        <v>13</v>
      </c>
      <c r="AV70">
        <v>1</v>
      </c>
      <c r="AW70">
        <v>2</v>
      </c>
      <c r="AX70">
        <v>39202392</v>
      </c>
      <c r="AY70">
        <v>1</v>
      </c>
      <c r="AZ70">
        <v>0</v>
      </c>
      <c r="BA70">
        <v>71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Y70*Source!I117</f>
        <v>48.123566999999994</v>
      </c>
      <c r="CY70">
        <f>AD70</f>
        <v>7.83</v>
      </c>
      <c r="CZ70">
        <f>AH70</f>
        <v>7.83</v>
      </c>
      <c r="DA70">
        <f>AL70</f>
        <v>1</v>
      </c>
      <c r="DB70">
        <f>ROUND((ROUND(AT70*CZ70,2)*1.15),2)</f>
        <v>344.87</v>
      </c>
      <c r="DC70">
        <f>ROUND((ROUND(AT70*AG70,2)*1.15),2)</f>
        <v>0</v>
      </c>
    </row>
    <row r="71" spans="1:107" x14ac:dyDescent="0.2">
      <c r="A71">
        <f>ROW(Source!A117)</f>
        <v>117</v>
      </c>
      <c r="B71">
        <v>39201625</v>
      </c>
      <c r="C71">
        <v>39202377</v>
      </c>
      <c r="D71">
        <v>121548</v>
      </c>
      <c r="E71">
        <v>1</v>
      </c>
      <c r="F71">
        <v>1</v>
      </c>
      <c r="G71">
        <v>1</v>
      </c>
      <c r="H71">
        <v>1</v>
      </c>
      <c r="I71" t="s">
        <v>26</v>
      </c>
      <c r="J71" t="s">
        <v>3</v>
      </c>
      <c r="K71" t="s">
        <v>382</v>
      </c>
      <c r="L71">
        <v>608254</v>
      </c>
      <c r="N71">
        <v>1013</v>
      </c>
      <c r="O71" t="s">
        <v>383</v>
      </c>
      <c r="P71" t="s">
        <v>383</v>
      </c>
      <c r="Q71">
        <v>1</v>
      </c>
      <c r="W71">
        <v>0</v>
      </c>
      <c r="X71">
        <v>-185737400</v>
      </c>
      <c r="Y71">
        <v>23.849999999999998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19.079999999999998</v>
      </c>
      <c r="AU71" t="s">
        <v>12</v>
      </c>
      <c r="AV71">
        <v>2</v>
      </c>
      <c r="AW71">
        <v>2</v>
      </c>
      <c r="AX71">
        <v>39202393</v>
      </c>
      <c r="AY71">
        <v>1</v>
      </c>
      <c r="AZ71">
        <v>0</v>
      </c>
      <c r="BA71">
        <v>72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Y71*Source!I117</f>
        <v>26.058509999999998</v>
      </c>
      <c r="CY71">
        <f>AD71</f>
        <v>0</v>
      </c>
      <c r="CZ71">
        <f>AH71</f>
        <v>0</v>
      </c>
      <c r="DA71">
        <f>AL71</f>
        <v>1</v>
      </c>
      <c r="DB71">
        <f t="shared" ref="DB71:DB78" si="11">ROUND((ROUND(AT71*CZ71,2)*1.25),2)</f>
        <v>0</v>
      </c>
      <c r="DC71">
        <f t="shared" ref="DC71:DC78" si="12">ROUND((ROUND(AT71*AG71,2)*1.25),2)</f>
        <v>0</v>
      </c>
    </row>
    <row r="72" spans="1:107" x14ac:dyDescent="0.2">
      <c r="A72">
        <f>ROW(Source!A117)</f>
        <v>117</v>
      </c>
      <c r="B72">
        <v>39201625</v>
      </c>
      <c r="C72">
        <v>39202377</v>
      </c>
      <c r="D72">
        <v>26553813</v>
      </c>
      <c r="E72">
        <v>1</v>
      </c>
      <c r="F72">
        <v>1</v>
      </c>
      <c r="G72">
        <v>1</v>
      </c>
      <c r="H72">
        <v>2</v>
      </c>
      <c r="I72" t="s">
        <v>446</v>
      </c>
      <c r="J72" t="s">
        <v>447</v>
      </c>
      <c r="K72" t="s">
        <v>448</v>
      </c>
      <c r="L72">
        <v>26553684</v>
      </c>
      <c r="N72">
        <v>1013</v>
      </c>
      <c r="O72" t="s">
        <v>387</v>
      </c>
      <c r="P72" t="s">
        <v>387</v>
      </c>
      <c r="Q72">
        <v>1</v>
      </c>
      <c r="W72">
        <v>0</v>
      </c>
      <c r="X72">
        <v>79867837</v>
      </c>
      <c r="Y72">
        <v>3.7499999999999999E-2</v>
      </c>
      <c r="AA72">
        <v>0</v>
      </c>
      <c r="AB72">
        <v>111.75</v>
      </c>
      <c r="AC72">
        <v>13.26</v>
      </c>
      <c r="AD72">
        <v>0</v>
      </c>
      <c r="AE72">
        <v>0</v>
      </c>
      <c r="AF72">
        <v>111.75</v>
      </c>
      <c r="AG72">
        <v>13.26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0.03</v>
      </c>
      <c r="AU72" t="s">
        <v>12</v>
      </c>
      <c r="AV72">
        <v>0</v>
      </c>
      <c r="AW72">
        <v>2</v>
      </c>
      <c r="AX72">
        <v>39202394</v>
      </c>
      <c r="AY72">
        <v>1</v>
      </c>
      <c r="AZ72">
        <v>0</v>
      </c>
      <c r="BA72">
        <v>73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Y72*Source!I117</f>
        <v>4.0972500000000002E-2</v>
      </c>
      <c r="CY72">
        <f t="shared" ref="CY72:CY78" si="13">AB72</f>
        <v>111.75</v>
      </c>
      <c r="CZ72">
        <f t="shared" ref="CZ72:CZ78" si="14">AF72</f>
        <v>111.75</v>
      </c>
      <c r="DA72">
        <f t="shared" ref="DA72:DA78" si="15">AJ72</f>
        <v>1</v>
      </c>
      <c r="DB72">
        <f t="shared" si="11"/>
        <v>4.1900000000000004</v>
      </c>
      <c r="DC72">
        <f t="shared" si="12"/>
        <v>0.5</v>
      </c>
    </row>
    <row r="73" spans="1:107" x14ac:dyDescent="0.2">
      <c r="A73">
        <f>ROW(Source!A117)</f>
        <v>117</v>
      </c>
      <c r="B73">
        <v>39201625</v>
      </c>
      <c r="C73">
        <v>39202377</v>
      </c>
      <c r="D73">
        <v>26554401</v>
      </c>
      <c r="E73">
        <v>1</v>
      </c>
      <c r="F73">
        <v>1</v>
      </c>
      <c r="G73">
        <v>1</v>
      </c>
      <c r="H73">
        <v>2</v>
      </c>
      <c r="I73" t="s">
        <v>449</v>
      </c>
      <c r="J73" t="s">
        <v>450</v>
      </c>
      <c r="K73" t="s">
        <v>451</v>
      </c>
      <c r="L73">
        <v>26553684</v>
      </c>
      <c r="N73">
        <v>1013</v>
      </c>
      <c r="O73" t="s">
        <v>387</v>
      </c>
      <c r="P73" t="s">
        <v>387</v>
      </c>
      <c r="Q73">
        <v>1</v>
      </c>
      <c r="W73">
        <v>0</v>
      </c>
      <c r="X73">
        <v>1841967113</v>
      </c>
      <c r="Y73">
        <v>1.75</v>
      </c>
      <c r="AA73">
        <v>0</v>
      </c>
      <c r="AB73">
        <v>17.2</v>
      </c>
      <c r="AC73">
        <v>0</v>
      </c>
      <c r="AD73">
        <v>0</v>
      </c>
      <c r="AE73">
        <v>0</v>
      </c>
      <c r="AF73">
        <v>17.2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1.4</v>
      </c>
      <c r="AU73" t="s">
        <v>12</v>
      </c>
      <c r="AV73">
        <v>0</v>
      </c>
      <c r="AW73">
        <v>2</v>
      </c>
      <c r="AX73">
        <v>39202395</v>
      </c>
      <c r="AY73">
        <v>1</v>
      </c>
      <c r="AZ73">
        <v>0</v>
      </c>
      <c r="BA73">
        <v>74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Y73*Source!I117</f>
        <v>1.91205</v>
      </c>
      <c r="CY73">
        <f t="shared" si="13"/>
        <v>17.2</v>
      </c>
      <c r="CZ73">
        <f t="shared" si="14"/>
        <v>17.2</v>
      </c>
      <c r="DA73">
        <f t="shared" si="15"/>
        <v>1</v>
      </c>
      <c r="DB73">
        <f t="shared" si="11"/>
        <v>30.1</v>
      </c>
      <c r="DC73">
        <f t="shared" si="12"/>
        <v>0</v>
      </c>
    </row>
    <row r="74" spans="1:107" x14ac:dyDescent="0.2">
      <c r="A74">
        <f>ROW(Source!A117)</f>
        <v>117</v>
      </c>
      <c r="B74">
        <v>39201625</v>
      </c>
      <c r="C74">
        <v>39202377</v>
      </c>
      <c r="D74">
        <v>26554420</v>
      </c>
      <c r="E74">
        <v>1</v>
      </c>
      <c r="F74">
        <v>1</v>
      </c>
      <c r="G74">
        <v>1</v>
      </c>
      <c r="H74">
        <v>2</v>
      </c>
      <c r="I74" t="s">
        <v>452</v>
      </c>
      <c r="J74" t="s">
        <v>453</v>
      </c>
      <c r="K74" t="s">
        <v>454</v>
      </c>
      <c r="L74">
        <v>26553684</v>
      </c>
      <c r="N74">
        <v>1013</v>
      </c>
      <c r="O74" t="s">
        <v>387</v>
      </c>
      <c r="P74" t="s">
        <v>387</v>
      </c>
      <c r="Q74">
        <v>1</v>
      </c>
      <c r="W74">
        <v>0</v>
      </c>
      <c r="X74">
        <v>-1180297261</v>
      </c>
      <c r="Y74">
        <v>4.95</v>
      </c>
      <c r="AA74">
        <v>0</v>
      </c>
      <c r="AB74">
        <v>74.78</v>
      </c>
      <c r="AC74">
        <v>11.38</v>
      </c>
      <c r="AD74">
        <v>0</v>
      </c>
      <c r="AE74">
        <v>0</v>
      </c>
      <c r="AF74">
        <v>74.78</v>
      </c>
      <c r="AG74">
        <v>11.38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3.96</v>
      </c>
      <c r="AU74" t="s">
        <v>12</v>
      </c>
      <c r="AV74">
        <v>0</v>
      </c>
      <c r="AW74">
        <v>2</v>
      </c>
      <c r="AX74">
        <v>39202396</v>
      </c>
      <c r="AY74">
        <v>1</v>
      </c>
      <c r="AZ74">
        <v>0</v>
      </c>
      <c r="BA74">
        <v>75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Y74*Source!I117</f>
        <v>5.4083700000000006</v>
      </c>
      <c r="CY74">
        <f t="shared" si="13"/>
        <v>74.78</v>
      </c>
      <c r="CZ74">
        <f t="shared" si="14"/>
        <v>74.78</v>
      </c>
      <c r="DA74">
        <f t="shared" si="15"/>
        <v>1</v>
      </c>
      <c r="DB74">
        <f t="shared" si="11"/>
        <v>370.16</v>
      </c>
      <c r="DC74">
        <f t="shared" si="12"/>
        <v>56.33</v>
      </c>
    </row>
    <row r="75" spans="1:107" x14ac:dyDescent="0.2">
      <c r="A75">
        <f>ROW(Source!A117)</f>
        <v>117</v>
      </c>
      <c r="B75">
        <v>39201625</v>
      </c>
      <c r="C75">
        <v>39202377</v>
      </c>
      <c r="D75">
        <v>26554421</v>
      </c>
      <c r="E75">
        <v>1</v>
      </c>
      <c r="F75">
        <v>1</v>
      </c>
      <c r="G75">
        <v>1</v>
      </c>
      <c r="H75">
        <v>2</v>
      </c>
      <c r="I75" t="s">
        <v>455</v>
      </c>
      <c r="J75" t="s">
        <v>456</v>
      </c>
      <c r="K75" t="s">
        <v>457</v>
      </c>
      <c r="L75">
        <v>26553684</v>
      </c>
      <c r="N75">
        <v>1013</v>
      </c>
      <c r="O75" t="s">
        <v>387</v>
      </c>
      <c r="P75" t="s">
        <v>387</v>
      </c>
      <c r="Q75">
        <v>1</v>
      </c>
      <c r="W75">
        <v>0</v>
      </c>
      <c r="X75">
        <v>73143315</v>
      </c>
      <c r="Y75">
        <v>14.387499999999999</v>
      </c>
      <c r="AA75">
        <v>0</v>
      </c>
      <c r="AB75">
        <v>120.74</v>
      </c>
      <c r="AC75">
        <v>14.14</v>
      </c>
      <c r="AD75">
        <v>0</v>
      </c>
      <c r="AE75">
        <v>0</v>
      </c>
      <c r="AF75">
        <v>120.74</v>
      </c>
      <c r="AG75">
        <v>14.14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11.51</v>
      </c>
      <c r="AU75" t="s">
        <v>12</v>
      </c>
      <c r="AV75">
        <v>0</v>
      </c>
      <c r="AW75">
        <v>2</v>
      </c>
      <c r="AX75">
        <v>39202397</v>
      </c>
      <c r="AY75">
        <v>1</v>
      </c>
      <c r="AZ75">
        <v>0</v>
      </c>
      <c r="BA75">
        <v>76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Y75*Source!I117</f>
        <v>15.719782499999999</v>
      </c>
      <c r="CY75">
        <f t="shared" si="13"/>
        <v>120.74</v>
      </c>
      <c r="CZ75">
        <f t="shared" si="14"/>
        <v>120.74</v>
      </c>
      <c r="DA75">
        <f t="shared" si="15"/>
        <v>1</v>
      </c>
      <c r="DB75">
        <f t="shared" si="11"/>
        <v>1737.15</v>
      </c>
      <c r="DC75">
        <f t="shared" si="12"/>
        <v>203.44</v>
      </c>
    </row>
    <row r="76" spans="1:107" x14ac:dyDescent="0.2">
      <c r="A76">
        <f>ROW(Source!A117)</f>
        <v>117</v>
      </c>
      <c r="B76">
        <v>39201625</v>
      </c>
      <c r="C76">
        <v>39202377</v>
      </c>
      <c r="D76">
        <v>26554486</v>
      </c>
      <c r="E76">
        <v>1</v>
      </c>
      <c r="F76">
        <v>1</v>
      </c>
      <c r="G76">
        <v>1</v>
      </c>
      <c r="H76">
        <v>2</v>
      </c>
      <c r="I76" t="s">
        <v>399</v>
      </c>
      <c r="J76" t="s">
        <v>400</v>
      </c>
      <c r="K76" t="s">
        <v>401</v>
      </c>
      <c r="L76">
        <v>26553684</v>
      </c>
      <c r="N76">
        <v>1013</v>
      </c>
      <c r="O76" t="s">
        <v>387</v>
      </c>
      <c r="P76" t="s">
        <v>387</v>
      </c>
      <c r="Q76">
        <v>1</v>
      </c>
      <c r="W76">
        <v>0</v>
      </c>
      <c r="X76">
        <v>-1654342457</v>
      </c>
      <c r="Y76">
        <v>0.48750000000000004</v>
      </c>
      <c r="AA76">
        <v>0</v>
      </c>
      <c r="AB76">
        <v>110</v>
      </c>
      <c r="AC76">
        <v>11.38</v>
      </c>
      <c r="AD76">
        <v>0</v>
      </c>
      <c r="AE76">
        <v>0</v>
      </c>
      <c r="AF76">
        <v>110</v>
      </c>
      <c r="AG76">
        <v>11.38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0.39</v>
      </c>
      <c r="AU76" t="s">
        <v>12</v>
      </c>
      <c r="AV76">
        <v>0</v>
      </c>
      <c r="AW76">
        <v>2</v>
      </c>
      <c r="AX76">
        <v>39202398</v>
      </c>
      <c r="AY76">
        <v>1</v>
      </c>
      <c r="AZ76">
        <v>0</v>
      </c>
      <c r="BA76">
        <v>77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Y76*Source!I117</f>
        <v>0.53264250000000002</v>
      </c>
      <c r="CY76">
        <f t="shared" si="13"/>
        <v>110</v>
      </c>
      <c r="CZ76">
        <f t="shared" si="14"/>
        <v>110</v>
      </c>
      <c r="DA76">
        <f t="shared" si="15"/>
        <v>1</v>
      </c>
      <c r="DB76">
        <f t="shared" si="11"/>
        <v>53.63</v>
      </c>
      <c r="DC76">
        <f t="shared" si="12"/>
        <v>5.55</v>
      </c>
    </row>
    <row r="77" spans="1:107" x14ac:dyDescent="0.2">
      <c r="A77">
        <f>ROW(Source!A117)</f>
        <v>117</v>
      </c>
      <c r="B77">
        <v>39201625</v>
      </c>
      <c r="C77">
        <v>39202377</v>
      </c>
      <c r="D77">
        <v>26554510</v>
      </c>
      <c r="E77">
        <v>1</v>
      </c>
      <c r="F77">
        <v>1</v>
      </c>
      <c r="G77">
        <v>1</v>
      </c>
      <c r="H77">
        <v>2</v>
      </c>
      <c r="I77" t="s">
        <v>458</v>
      </c>
      <c r="J77" t="s">
        <v>459</v>
      </c>
      <c r="K77" t="s">
        <v>460</v>
      </c>
      <c r="L77">
        <v>26553684</v>
      </c>
      <c r="N77">
        <v>1013</v>
      </c>
      <c r="O77" t="s">
        <v>387</v>
      </c>
      <c r="P77" t="s">
        <v>387</v>
      </c>
      <c r="Q77">
        <v>1</v>
      </c>
      <c r="W77">
        <v>0</v>
      </c>
      <c r="X77">
        <v>1326099191</v>
      </c>
      <c r="Y77">
        <v>3.9874999999999998</v>
      </c>
      <c r="AA77">
        <v>0</v>
      </c>
      <c r="AB77">
        <v>194.94</v>
      </c>
      <c r="AC77">
        <v>14.14</v>
      </c>
      <c r="AD77">
        <v>0</v>
      </c>
      <c r="AE77">
        <v>0</v>
      </c>
      <c r="AF77">
        <v>194.94</v>
      </c>
      <c r="AG77">
        <v>14.14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3.19</v>
      </c>
      <c r="AU77" t="s">
        <v>12</v>
      </c>
      <c r="AV77">
        <v>0</v>
      </c>
      <c r="AW77">
        <v>2</v>
      </c>
      <c r="AX77">
        <v>39202399</v>
      </c>
      <c r="AY77">
        <v>1</v>
      </c>
      <c r="AZ77">
        <v>0</v>
      </c>
      <c r="BA77">
        <v>78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Y77*Source!I117</f>
        <v>4.3567425000000002</v>
      </c>
      <c r="CY77">
        <f t="shared" si="13"/>
        <v>194.94</v>
      </c>
      <c r="CZ77">
        <f t="shared" si="14"/>
        <v>194.94</v>
      </c>
      <c r="DA77">
        <f t="shared" si="15"/>
        <v>1</v>
      </c>
      <c r="DB77">
        <f t="shared" si="11"/>
        <v>777.33</v>
      </c>
      <c r="DC77">
        <f t="shared" si="12"/>
        <v>56.39</v>
      </c>
    </row>
    <row r="78" spans="1:107" x14ac:dyDescent="0.2">
      <c r="A78">
        <f>ROW(Source!A117)</f>
        <v>117</v>
      </c>
      <c r="B78">
        <v>39201625</v>
      </c>
      <c r="C78">
        <v>39202377</v>
      </c>
      <c r="D78">
        <v>26555822</v>
      </c>
      <c r="E78">
        <v>1</v>
      </c>
      <c r="F78">
        <v>1</v>
      </c>
      <c r="G78">
        <v>1</v>
      </c>
      <c r="H78">
        <v>2</v>
      </c>
      <c r="I78" t="s">
        <v>461</v>
      </c>
      <c r="J78" t="s">
        <v>462</v>
      </c>
      <c r="K78" t="s">
        <v>463</v>
      </c>
      <c r="L78">
        <v>26553684</v>
      </c>
      <c r="N78">
        <v>1013</v>
      </c>
      <c r="O78" t="s">
        <v>387</v>
      </c>
      <c r="P78" t="s">
        <v>387</v>
      </c>
      <c r="Q78">
        <v>1</v>
      </c>
      <c r="W78">
        <v>0</v>
      </c>
      <c r="X78">
        <v>210745813</v>
      </c>
      <c r="Y78">
        <v>0.05</v>
      </c>
      <c r="AA78">
        <v>0</v>
      </c>
      <c r="AB78">
        <v>86.55</v>
      </c>
      <c r="AC78">
        <v>0</v>
      </c>
      <c r="AD78">
        <v>0</v>
      </c>
      <c r="AE78">
        <v>0</v>
      </c>
      <c r="AF78">
        <v>86.55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0.04</v>
      </c>
      <c r="AU78" t="s">
        <v>12</v>
      </c>
      <c r="AV78">
        <v>0</v>
      </c>
      <c r="AW78">
        <v>2</v>
      </c>
      <c r="AX78">
        <v>39202400</v>
      </c>
      <c r="AY78">
        <v>1</v>
      </c>
      <c r="AZ78">
        <v>0</v>
      </c>
      <c r="BA78">
        <v>79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Y78*Source!I117</f>
        <v>5.4630000000000005E-2</v>
      </c>
      <c r="CY78">
        <f t="shared" si="13"/>
        <v>86.55</v>
      </c>
      <c r="CZ78">
        <f t="shared" si="14"/>
        <v>86.55</v>
      </c>
      <c r="DA78">
        <f t="shared" si="15"/>
        <v>1</v>
      </c>
      <c r="DB78">
        <f t="shared" si="11"/>
        <v>4.33</v>
      </c>
      <c r="DC78">
        <f t="shared" si="12"/>
        <v>0</v>
      </c>
    </row>
    <row r="79" spans="1:107" x14ac:dyDescent="0.2">
      <c r="A79">
        <f>ROW(Source!A117)</f>
        <v>117</v>
      </c>
      <c r="B79">
        <v>39201625</v>
      </c>
      <c r="C79">
        <v>39202377</v>
      </c>
      <c r="D79">
        <v>26557685</v>
      </c>
      <c r="E79">
        <v>1</v>
      </c>
      <c r="F79">
        <v>1</v>
      </c>
      <c r="G79">
        <v>1</v>
      </c>
      <c r="H79">
        <v>3</v>
      </c>
      <c r="I79" t="s">
        <v>467</v>
      </c>
      <c r="J79" t="s">
        <v>468</v>
      </c>
      <c r="K79" t="s">
        <v>469</v>
      </c>
      <c r="L79">
        <v>1348</v>
      </c>
      <c r="N79">
        <v>1009</v>
      </c>
      <c r="O79" t="s">
        <v>169</v>
      </c>
      <c r="P79" t="s">
        <v>169</v>
      </c>
      <c r="Q79">
        <v>1000</v>
      </c>
      <c r="W79">
        <v>0</v>
      </c>
      <c r="X79">
        <v>314505374</v>
      </c>
      <c r="Y79">
        <v>6.1999999999999998E-3</v>
      </c>
      <c r="AA79">
        <v>5469.5</v>
      </c>
      <c r="AB79">
        <v>0</v>
      </c>
      <c r="AC79">
        <v>0</v>
      </c>
      <c r="AD79">
        <v>0</v>
      </c>
      <c r="AE79">
        <v>5469.5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6.1999999999999998E-3</v>
      </c>
      <c r="AU79" t="s">
        <v>3</v>
      </c>
      <c r="AV79">
        <v>0</v>
      </c>
      <c r="AW79">
        <v>2</v>
      </c>
      <c r="AX79">
        <v>39202401</v>
      </c>
      <c r="AY79">
        <v>1</v>
      </c>
      <c r="AZ79">
        <v>0</v>
      </c>
      <c r="BA79">
        <v>80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Y79*Source!I117</f>
        <v>6.7741199999999998E-3</v>
      </c>
      <c r="CY79">
        <f>AA79</f>
        <v>5469.5</v>
      </c>
      <c r="CZ79">
        <f>AE79</f>
        <v>5469.5</v>
      </c>
      <c r="DA79">
        <f>AI79</f>
        <v>1</v>
      </c>
      <c r="DB79">
        <f>ROUND(ROUND(AT79*CZ79,2),2)</f>
        <v>33.909999999999997</v>
      </c>
      <c r="DC79">
        <f>ROUND(ROUND(AT79*AG79,2),2)</f>
        <v>0</v>
      </c>
    </row>
    <row r="80" spans="1:107" x14ac:dyDescent="0.2">
      <c r="A80">
        <f>ROW(Source!A117)</f>
        <v>117</v>
      </c>
      <c r="B80">
        <v>39201625</v>
      </c>
      <c r="C80">
        <v>39202377</v>
      </c>
      <c r="D80">
        <v>26558499</v>
      </c>
      <c r="E80">
        <v>1</v>
      </c>
      <c r="F80">
        <v>1</v>
      </c>
      <c r="G80">
        <v>1</v>
      </c>
      <c r="H80">
        <v>3</v>
      </c>
      <c r="I80" t="s">
        <v>470</v>
      </c>
      <c r="J80" t="s">
        <v>471</v>
      </c>
      <c r="K80" t="s">
        <v>472</v>
      </c>
      <c r="L80">
        <v>1348</v>
      </c>
      <c r="N80">
        <v>1009</v>
      </c>
      <c r="O80" t="s">
        <v>169</v>
      </c>
      <c r="P80" t="s">
        <v>169</v>
      </c>
      <c r="Q80">
        <v>1000</v>
      </c>
      <c r="W80">
        <v>0</v>
      </c>
      <c r="X80">
        <v>-1858712530</v>
      </c>
      <c r="Y80">
        <v>1.0800000000000001E-2</v>
      </c>
      <c r="AA80">
        <v>1559.03</v>
      </c>
      <c r="AB80">
        <v>0</v>
      </c>
      <c r="AC80">
        <v>0</v>
      </c>
      <c r="AD80">
        <v>0</v>
      </c>
      <c r="AE80">
        <v>1559.03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1.0800000000000001E-2</v>
      </c>
      <c r="AU80" t="s">
        <v>3</v>
      </c>
      <c r="AV80">
        <v>0</v>
      </c>
      <c r="AW80">
        <v>2</v>
      </c>
      <c r="AX80">
        <v>39202402</v>
      </c>
      <c r="AY80">
        <v>1</v>
      </c>
      <c r="AZ80">
        <v>0</v>
      </c>
      <c r="BA80">
        <v>81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Y80*Source!I117</f>
        <v>1.1800080000000001E-2</v>
      </c>
      <c r="CY80">
        <f>AA80</f>
        <v>1559.03</v>
      </c>
      <c r="CZ80">
        <f>AE80</f>
        <v>1559.03</v>
      </c>
      <c r="DA80">
        <f>AI80</f>
        <v>1</v>
      </c>
      <c r="DB80">
        <f>ROUND(ROUND(AT80*CZ80,2),2)</f>
        <v>16.84</v>
      </c>
      <c r="DC80">
        <f>ROUND(ROUND(AT80*AG80,2),2)</f>
        <v>0</v>
      </c>
    </row>
    <row r="81" spans="1:107" x14ac:dyDescent="0.2">
      <c r="A81">
        <f>ROW(Source!A117)</f>
        <v>117</v>
      </c>
      <c r="B81">
        <v>39201625</v>
      </c>
      <c r="C81">
        <v>39202377</v>
      </c>
      <c r="D81">
        <v>26565908</v>
      </c>
      <c r="E81">
        <v>1</v>
      </c>
      <c r="F81">
        <v>1</v>
      </c>
      <c r="G81">
        <v>1</v>
      </c>
      <c r="H81">
        <v>3</v>
      </c>
      <c r="I81" t="s">
        <v>473</v>
      </c>
      <c r="J81" t="s">
        <v>474</v>
      </c>
      <c r="K81" t="s">
        <v>475</v>
      </c>
      <c r="L81">
        <v>1339</v>
      </c>
      <c r="N81">
        <v>1007</v>
      </c>
      <c r="O81" t="s">
        <v>130</v>
      </c>
      <c r="P81" t="s">
        <v>130</v>
      </c>
      <c r="Q81">
        <v>1</v>
      </c>
      <c r="W81">
        <v>0</v>
      </c>
      <c r="X81">
        <v>1115862217</v>
      </c>
      <c r="Y81">
        <v>0.15</v>
      </c>
      <c r="AA81">
        <v>1173.28</v>
      </c>
      <c r="AB81">
        <v>0</v>
      </c>
      <c r="AC81">
        <v>0</v>
      </c>
      <c r="AD81">
        <v>0</v>
      </c>
      <c r="AE81">
        <v>1173.28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0.15</v>
      </c>
      <c r="AU81" t="s">
        <v>3</v>
      </c>
      <c r="AV81">
        <v>0</v>
      </c>
      <c r="AW81">
        <v>2</v>
      </c>
      <c r="AX81">
        <v>39202403</v>
      </c>
      <c r="AY81">
        <v>1</v>
      </c>
      <c r="AZ81">
        <v>0</v>
      </c>
      <c r="BA81">
        <v>82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Y81*Source!I117</f>
        <v>0.16389000000000001</v>
      </c>
      <c r="CY81">
        <f>AA81</f>
        <v>1173.28</v>
      </c>
      <c r="CZ81">
        <f>AE81</f>
        <v>1173.28</v>
      </c>
      <c r="DA81">
        <f>AI81</f>
        <v>1</v>
      </c>
      <c r="DB81">
        <f>ROUND(ROUND(AT81*CZ81,2),2)</f>
        <v>175.99</v>
      </c>
      <c r="DC81">
        <f>ROUND(ROUND(AT81*AG81,2),2)</f>
        <v>0</v>
      </c>
    </row>
    <row r="82" spans="1:107" x14ac:dyDescent="0.2">
      <c r="A82">
        <f>ROW(Source!A117)</f>
        <v>117</v>
      </c>
      <c r="B82">
        <v>39201625</v>
      </c>
      <c r="C82">
        <v>39202377</v>
      </c>
      <c r="D82">
        <v>26608007</v>
      </c>
      <c r="E82">
        <v>1</v>
      </c>
      <c r="F82">
        <v>1</v>
      </c>
      <c r="G82">
        <v>1</v>
      </c>
      <c r="H82">
        <v>3</v>
      </c>
      <c r="I82" t="s">
        <v>167</v>
      </c>
      <c r="J82" t="s">
        <v>170</v>
      </c>
      <c r="K82" t="s">
        <v>168</v>
      </c>
      <c r="L82">
        <v>1348</v>
      </c>
      <c r="N82">
        <v>1009</v>
      </c>
      <c r="O82" t="s">
        <v>169</v>
      </c>
      <c r="P82" t="s">
        <v>169</v>
      </c>
      <c r="Q82">
        <v>1000</v>
      </c>
      <c r="W82">
        <v>1</v>
      </c>
      <c r="X82">
        <v>256039489</v>
      </c>
      <c r="Y82">
        <v>-96.6</v>
      </c>
      <c r="AA82">
        <v>422.2</v>
      </c>
      <c r="AB82">
        <v>0</v>
      </c>
      <c r="AC82">
        <v>0</v>
      </c>
      <c r="AD82">
        <v>0</v>
      </c>
      <c r="AE82">
        <v>422.2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-96.6</v>
      </c>
      <c r="AU82" t="s">
        <v>3</v>
      </c>
      <c r="AV82">
        <v>0</v>
      </c>
      <c r="AW82">
        <v>2</v>
      </c>
      <c r="AX82">
        <v>39202404</v>
      </c>
      <c r="AY82">
        <v>1</v>
      </c>
      <c r="AZ82">
        <v>6144</v>
      </c>
      <c r="BA82">
        <v>83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Y82*Source!I117</f>
        <v>-105.54516</v>
      </c>
      <c r="CY82">
        <f>AA82</f>
        <v>422.2</v>
      </c>
      <c r="CZ82">
        <f>AE82</f>
        <v>422.2</v>
      </c>
      <c r="DA82">
        <f>AI82</f>
        <v>1</v>
      </c>
      <c r="DB82">
        <f>ROUND(ROUND(AT82*CZ82,2),2)</f>
        <v>-40784.519999999997</v>
      </c>
      <c r="DC82">
        <f>ROUND(ROUND(AT82*AG82,2),2)</f>
        <v>0</v>
      </c>
    </row>
    <row r="83" spans="1:107" x14ac:dyDescent="0.2">
      <c r="A83">
        <f>ROW(Source!A117)</f>
        <v>117</v>
      </c>
      <c r="B83">
        <v>39201625</v>
      </c>
      <c r="C83">
        <v>39202377</v>
      </c>
      <c r="D83">
        <v>26608009</v>
      </c>
      <c r="E83">
        <v>1</v>
      </c>
      <c r="F83">
        <v>1</v>
      </c>
      <c r="G83">
        <v>1</v>
      </c>
      <c r="H83">
        <v>3</v>
      </c>
      <c r="I83" t="s">
        <v>172</v>
      </c>
      <c r="J83" t="s">
        <v>174</v>
      </c>
      <c r="K83" t="s">
        <v>173</v>
      </c>
      <c r="L83">
        <v>1348</v>
      </c>
      <c r="N83">
        <v>1009</v>
      </c>
      <c r="O83" t="s">
        <v>169</v>
      </c>
      <c r="P83" t="s">
        <v>169</v>
      </c>
      <c r="Q83">
        <v>1000</v>
      </c>
      <c r="W83">
        <v>0</v>
      </c>
      <c r="X83">
        <v>-1313825229</v>
      </c>
      <c r="Y83">
        <v>96.6</v>
      </c>
      <c r="AA83">
        <v>444.48</v>
      </c>
      <c r="AB83">
        <v>0</v>
      </c>
      <c r="AC83">
        <v>0</v>
      </c>
      <c r="AD83">
        <v>0</v>
      </c>
      <c r="AE83">
        <v>444.48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0</v>
      </c>
      <c r="AP83">
        <v>0</v>
      </c>
      <c r="AQ83">
        <v>0</v>
      </c>
      <c r="AR83">
        <v>0</v>
      </c>
      <c r="AS83" t="s">
        <v>3</v>
      </c>
      <c r="AT83">
        <v>96.6</v>
      </c>
      <c r="AU83" t="s">
        <v>3</v>
      </c>
      <c r="AV83">
        <v>0</v>
      </c>
      <c r="AW83">
        <v>1</v>
      </c>
      <c r="AX83">
        <v>-1</v>
      </c>
      <c r="AY83">
        <v>0</v>
      </c>
      <c r="AZ83">
        <v>0</v>
      </c>
      <c r="BA83" t="s">
        <v>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Y83*Source!I117</f>
        <v>105.54516</v>
      </c>
      <c r="CY83">
        <f>AA83</f>
        <v>444.48</v>
      </c>
      <c r="CZ83">
        <f>AE83</f>
        <v>444.48</v>
      </c>
      <c r="DA83">
        <f>AI83</f>
        <v>1</v>
      </c>
      <c r="DB83">
        <f>ROUND(ROUND(AT83*CZ83,2),2)</f>
        <v>42936.77</v>
      </c>
      <c r="DC83">
        <f>ROUND(ROUND(AT83*AG83,2),2)</f>
        <v>0</v>
      </c>
    </row>
    <row r="84" spans="1:107" x14ac:dyDescent="0.2">
      <c r="A84">
        <f>ROW(Source!A120)</f>
        <v>120</v>
      </c>
      <c r="B84">
        <v>39201625</v>
      </c>
      <c r="C84">
        <v>39202407</v>
      </c>
      <c r="D84">
        <v>24225483</v>
      </c>
      <c r="E84">
        <v>1</v>
      </c>
      <c r="F84">
        <v>1</v>
      </c>
      <c r="G84">
        <v>1</v>
      </c>
      <c r="H84">
        <v>1</v>
      </c>
      <c r="I84" t="s">
        <v>444</v>
      </c>
      <c r="J84" t="s">
        <v>3</v>
      </c>
      <c r="K84" t="s">
        <v>445</v>
      </c>
      <c r="L84">
        <v>1476</v>
      </c>
      <c r="N84">
        <v>1013</v>
      </c>
      <c r="O84" t="s">
        <v>380</v>
      </c>
      <c r="P84" t="s">
        <v>381</v>
      </c>
      <c r="Q84">
        <v>1</v>
      </c>
      <c r="W84">
        <v>0</v>
      </c>
      <c r="X84">
        <v>-980287603</v>
      </c>
      <c r="Y84">
        <v>0.20699999999999999</v>
      </c>
      <c r="AA84">
        <v>0</v>
      </c>
      <c r="AB84">
        <v>0</v>
      </c>
      <c r="AC84">
        <v>0</v>
      </c>
      <c r="AD84">
        <v>7.83</v>
      </c>
      <c r="AE84">
        <v>0</v>
      </c>
      <c r="AF84">
        <v>0</v>
      </c>
      <c r="AG84">
        <v>0</v>
      </c>
      <c r="AH84">
        <v>7.83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0.09</v>
      </c>
      <c r="AU84" t="s">
        <v>160</v>
      </c>
      <c r="AV84">
        <v>1</v>
      </c>
      <c r="AW84">
        <v>2</v>
      </c>
      <c r="AX84">
        <v>39202413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Y84*Source!I120</f>
        <v>0.22616819999999999</v>
      </c>
      <c r="CY84">
        <f>AD84</f>
        <v>7.83</v>
      </c>
      <c r="CZ84">
        <f>AH84</f>
        <v>7.83</v>
      </c>
      <c r="DA84">
        <f>AL84</f>
        <v>1</v>
      </c>
      <c r="DB84">
        <f>ROUND(((ROUND(AT84*CZ84,2)*1.15)*2),2)</f>
        <v>1.61</v>
      </c>
      <c r="DC84">
        <f>ROUND(((ROUND(AT84*AG84,2)*1.15)*2),2)</f>
        <v>0</v>
      </c>
    </row>
    <row r="85" spans="1:107" x14ac:dyDescent="0.2">
      <c r="A85">
        <f>ROW(Source!A120)</f>
        <v>120</v>
      </c>
      <c r="B85">
        <v>39201625</v>
      </c>
      <c r="C85">
        <v>39202407</v>
      </c>
      <c r="D85">
        <v>26554401</v>
      </c>
      <c r="E85">
        <v>1</v>
      </c>
      <c r="F85">
        <v>1</v>
      </c>
      <c r="G85">
        <v>1</v>
      </c>
      <c r="H85">
        <v>2</v>
      </c>
      <c r="I85" t="s">
        <v>449</v>
      </c>
      <c r="J85" t="s">
        <v>450</v>
      </c>
      <c r="K85" t="s">
        <v>451</v>
      </c>
      <c r="L85">
        <v>26553684</v>
      </c>
      <c r="N85">
        <v>1013</v>
      </c>
      <c r="O85" t="s">
        <v>387</v>
      </c>
      <c r="P85" t="s">
        <v>387</v>
      </c>
      <c r="Q85">
        <v>1</v>
      </c>
      <c r="W85">
        <v>0</v>
      </c>
      <c r="X85">
        <v>1841967113</v>
      </c>
      <c r="Y85">
        <v>0.44999999999999996</v>
      </c>
      <c r="AA85">
        <v>0</v>
      </c>
      <c r="AB85">
        <v>17.2</v>
      </c>
      <c r="AC85">
        <v>0</v>
      </c>
      <c r="AD85">
        <v>0</v>
      </c>
      <c r="AE85">
        <v>0</v>
      </c>
      <c r="AF85">
        <v>17.2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0.18</v>
      </c>
      <c r="AU85" t="s">
        <v>159</v>
      </c>
      <c r="AV85">
        <v>0</v>
      </c>
      <c r="AW85">
        <v>2</v>
      </c>
      <c r="AX85">
        <v>39202414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Y85*Source!I120</f>
        <v>0.49166999999999994</v>
      </c>
      <c r="CY85">
        <f>AB85</f>
        <v>17.2</v>
      </c>
      <c r="CZ85">
        <f>AF85</f>
        <v>17.2</v>
      </c>
      <c r="DA85">
        <f>AJ85</f>
        <v>1</v>
      </c>
      <c r="DB85">
        <f>ROUND(((ROUND(AT85*CZ85,2)*1.25)*2),2)</f>
        <v>7.75</v>
      </c>
      <c r="DC85">
        <f>ROUND(((ROUND(AT85*AG85,2)*1.25)*2),2)</f>
        <v>0</v>
      </c>
    </row>
    <row r="86" spans="1:107" x14ac:dyDescent="0.2">
      <c r="A86">
        <f>ROW(Source!A120)</f>
        <v>120</v>
      </c>
      <c r="B86">
        <v>39201625</v>
      </c>
      <c r="C86">
        <v>39202407</v>
      </c>
      <c r="D86">
        <v>26558499</v>
      </c>
      <c r="E86">
        <v>1</v>
      </c>
      <c r="F86">
        <v>1</v>
      </c>
      <c r="G86">
        <v>1</v>
      </c>
      <c r="H86">
        <v>3</v>
      </c>
      <c r="I86" t="s">
        <v>470</v>
      </c>
      <c r="J86" t="s">
        <v>471</v>
      </c>
      <c r="K86" t="s">
        <v>472</v>
      </c>
      <c r="L86">
        <v>1348</v>
      </c>
      <c r="N86">
        <v>1009</v>
      </c>
      <c r="O86" t="s">
        <v>169</v>
      </c>
      <c r="P86" t="s">
        <v>169</v>
      </c>
      <c r="Q86">
        <v>1000</v>
      </c>
      <c r="W86">
        <v>0</v>
      </c>
      <c r="X86">
        <v>-1858712530</v>
      </c>
      <c r="Y86">
        <v>2.8E-3</v>
      </c>
      <c r="AA86">
        <v>1559.03</v>
      </c>
      <c r="AB86">
        <v>0</v>
      </c>
      <c r="AC86">
        <v>0</v>
      </c>
      <c r="AD86">
        <v>0</v>
      </c>
      <c r="AE86">
        <v>1559.03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1.4E-3</v>
      </c>
      <c r="AU86" t="s">
        <v>158</v>
      </c>
      <c r="AV86">
        <v>0</v>
      </c>
      <c r="AW86">
        <v>2</v>
      </c>
      <c r="AX86">
        <v>39202415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Y86*Source!I120</f>
        <v>3.0592800000000002E-3</v>
      </c>
      <c r="CY86">
        <f>AA86</f>
        <v>1559.03</v>
      </c>
      <c r="CZ86">
        <f>AE86</f>
        <v>1559.03</v>
      </c>
      <c r="DA86">
        <f>AI86</f>
        <v>1</v>
      </c>
      <c r="DB86">
        <f>ROUND((ROUND(AT86*CZ86,2)*2),2)</f>
        <v>4.3600000000000003</v>
      </c>
      <c r="DC86">
        <f>ROUND((ROUND(AT86*AG86,2)*2),2)</f>
        <v>0</v>
      </c>
    </row>
    <row r="87" spans="1:107" x14ac:dyDescent="0.2">
      <c r="A87">
        <f>ROW(Source!A120)</f>
        <v>120</v>
      </c>
      <c r="B87">
        <v>39201625</v>
      </c>
      <c r="C87">
        <v>39202407</v>
      </c>
      <c r="D87">
        <v>26608007</v>
      </c>
      <c r="E87">
        <v>1</v>
      </c>
      <c r="F87">
        <v>1</v>
      </c>
      <c r="G87">
        <v>1</v>
      </c>
      <c r="H87">
        <v>3</v>
      </c>
      <c r="I87" t="s">
        <v>167</v>
      </c>
      <c r="J87" t="s">
        <v>170</v>
      </c>
      <c r="K87" t="s">
        <v>168</v>
      </c>
      <c r="L87">
        <v>1348</v>
      </c>
      <c r="N87">
        <v>1009</v>
      </c>
      <c r="O87" t="s">
        <v>169</v>
      </c>
      <c r="P87" t="s">
        <v>169</v>
      </c>
      <c r="Q87">
        <v>1000</v>
      </c>
      <c r="W87">
        <v>1</v>
      </c>
      <c r="X87">
        <v>256039489</v>
      </c>
      <c r="Y87">
        <v>-24.2</v>
      </c>
      <c r="AA87">
        <v>422.2</v>
      </c>
      <c r="AB87">
        <v>0</v>
      </c>
      <c r="AC87">
        <v>0</v>
      </c>
      <c r="AD87">
        <v>0</v>
      </c>
      <c r="AE87">
        <v>422.2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-12.1</v>
      </c>
      <c r="AU87" t="s">
        <v>158</v>
      </c>
      <c r="AV87">
        <v>0</v>
      </c>
      <c r="AW87">
        <v>2</v>
      </c>
      <c r="AX87">
        <v>39202416</v>
      </c>
      <c r="AY87">
        <v>1</v>
      </c>
      <c r="AZ87">
        <v>6144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Y87*Source!I120</f>
        <v>-26.440919999999998</v>
      </c>
      <c r="CY87">
        <f>AA87</f>
        <v>422.2</v>
      </c>
      <c r="CZ87">
        <f>AE87</f>
        <v>422.2</v>
      </c>
      <c r="DA87">
        <f>AI87</f>
        <v>1</v>
      </c>
      <c r="DB87">
        <f>ROUND((ROUND(AT87*CZ87,2)*2),2)</f>
        <v>-10217.24</v>
      </c>
      <c r="DC87">
        <f>ROUND((ROUND(AT87*AG87,2)*2),2)</f>
        <v>0</v>
      </c>
    </row>
    <row r="88" spans="1:107" x14ac:dyDescent="0.2">
      <c r="A88">
        <f>ROW(Source!A120)</f>
        <v>120</v>
      </c>
      <c r="B88">
        <v>39201625</v>
      </c>
      <c r="C88">
        <v>39202407</v>
      </c>
      <c r="D88">
        <v>26608009</v>
      </c>
      <c r="E88">
        <v>1</v>
      </c>
      <c r="F88">
        <v>1</v>
      </c>
      <c r="G88">
        <v>1</v>
      </c>
      <c r="H88">
        <v>3</v>
      </c>
      <c r="I88" t="s">
        <v>172</v>
      </c>
      <c r="J88" t="s">
        <v>174</v>
      </c>
      <c r="K88" t="s">
        <v>173</v>
      </c>
      <c r="L88">
        <v>1348</v>
      </c>
      <c r="N88">
        <v>1009</v>
      </c>
      <c r="O88" t="s">
        <v>169</v>
      </c>
      <c r="P88" t="s">
        <v>169</v>
      </c>
      <c r="Q88">
        <v>1000</v>
      </c>
      <c r="W88">
        <v>0</v>
      </c>
      <c r="X88">
        <v>-1313825229</v>
      </c>
      <c r="Y88">
        <v>24.2</v>
      </c>
      <c r="AA88">
        <v>444.48</v>
      </c>
      <c r="AB88">
        <v>0</v>
      </c>
      <c r="AC88">
        <v>0</v>
      </c>
      <c r="AD88">
        <v>0</v>
      </c>
      <c r="AE88">
        <v>444.48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0</v>
      </c>
      <c r="AP88">
        <v>1</v>
      </c>
      <c r="AQ88">
        <v>0</v>
      </c>
      <c r="AR88">
        <v>0</v>
      </c>
      <c r="AS88" t="s">
        <v>3</v>
      </c>
      <c r="AT88">
        <v>12.1</v>
      </c>
      <c r="AU88" t="s">
        <v>158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Y88*Source!I120</f>
        <v>26.440919999999998</v>
      </c>
      <c r="CY88">
        <f>AA88</f>
        <v>444.48</v>
      </c>
      <c r="CZ88">
        <f>AE88</f>
        <v>444.48</v>
      </c>
      <c r="DA88">
        <f>AI88</f>
        <v>1</v>
      </c>
      <c r="DB88">
        <f>ROUND((ROUND(AT88*CZ88,2)*2),2)</f>
        <v>10756.42</v>
      </c>
      <c r="DC88">
        <f>ROUND((ROUND(AT88*AG88,2)*2),2)</f>
        <v>0</v>
      </c>
    </row>
    <row r="89" spans="1:107" x14ac:dyDescent="0.2">
      <c r="A89">
        <f>ROW(Source!A158)</f>
        <v>158</v>
      </c>
      <c r="B89">
        <v>39201625</v>
      </c>
      <c r="C89">
        <v>39202419</v>
      </c>
      <c r="D89">
        <v>24233608</v>
      </c>
      <c r="E89">
        <v>1</v>
      </c>
      <c r="F89">
        <v>1</v>
      </c>
      <c r="G89">
        <v>1</v>
      </c>
      <c r="H89">
        <v>1</v>
      </c>
      <c r="I89" t="s">
        <v>419</v>
      </c>
      <c r="J89" t="s">
        <v>3</v>
      </c>
      <c r="K89" t="s">
        <v>420</v>
      </c>
      <c r="L89">
        <v>1476</v>
      </c>
      <c r="N89">
        <v>1013</v>
      </c>
      <c r="O89" t="s">
        <v>380</v>
      </c>
      <c r="P89" t="s">
        <v>381</v>
      </c>
      <c r="Q89">
        <v>1</v>
      </c>
      <c r="W89">
        <v>0</v>
      </c>
      <c r="X89">
        <v>1809359306</v>
      </c>
      <c r="Y89">
        <v>177.1</v>
      </c>
      <c r="AA89">
        <v>0</v>
      </c>
      <c r="AB89">
        <v>0</v>
      </c>
      <c r="AC89">
        <v>0</v>
      </c>
      <c r="AD89">
        <v>6.35</v>
      </c>
      <c r="AE89">
        <v>0</v>
      </c>
      <c r="AF89">
        <v>0</v>
      </c>
      <c r="AG89">
        <v>0</v>
      </c>
      <c r="AH89">
        <v>6.35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154</v>
      </c>
      <c r="AU89" t="s">
        <v>13</v>
      </c>
      <c r="AV89">
        <v>1</v>
      </c>
      <c r="AW89">
        <v>2</v>
      </c>
      <c r="AX89">
        <v>39202421</v>
      </c>
      <c r="AY89">
        <v>1</v>
      </c>
      <c r="AZ89">
        <v>0</v>
      </c>
      <c r="BA89">
        <v>88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Y89*Source!I158</f>
        <v>52.793509999999991</v>
      </c>
      <c r="CY89">
        <f>AD89</f>
        <v>6.35</v>
      </c>
      <c r="CZ89">
        <f>AH89</f>
        <v>6.35</v>
      </c>
      <c r="DA89">
        <f>AL89</f>
        <v>1</v>
      </c>
      <c r="DB89">
        <f>ROUND((ROUND(AT89*CZ89,2)*1.15),2)</f>
        <v>1124.5899999999999</v>
      </c>
      <c r="DC89">
        <f>ROUND((ROUND(AT89*AG89,2)*1.15),2)</f>
        <v>0</v>
      </c>
    </row>
    <row r="90" spans="1:107" x14ac:dyDescent="0.2">
      <c r="A90">
        <f>ROW(Source!A159)</f>
        <v>159</v>
      </c>
      <c r="B90">
        <v>39201625</v>
      </c>
      <c r="C90">
        <v>39202422</v>
      </c>
      <c r="D90">
        <v>24233887</v>
      </c>
      <c r="E90">
        <v>1</v>
      </c>
      <c r="F90">
        <v>1</v>
      </c>
      <c r="G90">
        <v>1</v>
      </c>
      <c r="H90">
        <v>1</v>
      </c>
      <c r="I90" t="s">
        <v>378</v>
      </c>
      <c r="J90" t="s">
        <v>3</v>
      </c>
      <c r="K90" t="s">
        <v>379</v>
      </c>
      <c r="L90">
        <v>1476</v>
      </c>
      <c r="N90">
        <v>1013</v>
      </c>
      <c r="O90" t="s">
        <v>380</v>
      </c>
      <c r="P90" t="s">
        <v>381</v>
      </c>
      <c r="Q90">
        <v>1</v>
      </c>
      <c r="W90">
        <v>0</v>
      </c>
      <c r="X90">
        <v>2017347174</v>
      </c>
      <c r="Y90">
        <v>27.8185</v>
      </c>
      <c r="AA90">
        <v>0</v>
      </c>
      <c r="AB90">
        <v>0</v>
      </c>
      <c r="AC90">
        <v>0</v>
      </c>
      <c r="AD90">
        <v>6.58</v>
      </c>
      <c r="AE90">
        <v>0</v>
      </c>
      <c r="AF90">
        <v>0</v>
      </c>
      <c r="AG90">
        <v>0</v>
      </c>
      <c r="AH90">
        <v>6.58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24.19</v>
      </c>
      <c r="AU90" t="s">
        <v>13</v>
      </c>
      <c r="AV90">
        <v>1</v>
      </c>
      <c r="AW90">
        <v>2</v>
      </c>
      <c r="AX90">
        <v>39202432</v>
      </c>
      <c r="AY90">
        <v>1</v>
      </c>
      <c r="AZ90">
        <v>0</v>
      </c>
      <c r="BA90">
        <v>89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Y90*Source!I159</f>
        <v>1.6579826</v>
      </c>
      <c r="CY90">
        <f>AD90</f>
        <v>6.58</v>
      </c>
      <c r="CZ90">
        <f>AH90</f>
        <v>6.58</v>
      </c>
      <c r="DA90">
        <f>AL90</f>
        <v>1</v>
      </c>
      <c r="DB90">
        <f>ROUND((ROUND(AT90*CZ90,2)*1.15),2)</f>
        <v>183.05</v>
      </c>
      <c r="DC90">
        <f>ROUND((ROUND(AT90*AG90,2)*1.15),2)</f>
        <v>0</v>
      </c>
    </row>
    <row r="91" spans="1:107" x14ac:dyDescent="0.2">
      <c r="A91">
        <f>ROW(Source!A159)</f>
        <v>159</v>
      </c>
      <c r="B91">
        <v>39201625</v>
      </c>
      <c r="C91">
        <v>39202422</v>
      </c>
      <c r="D91">
        <v>121548</v>
      </c>
      <c r="E91">
        <v>1</v>
      </c>
      <c r="F91">
        <v>1</v>
      </c>
      <c r="G91">
        <v>1</v>
      </c>
      <c r="H91">
        <v>1</v>
      </c>
      <c r="I91" t="s">
        <v>26</v>
      </c>
      <c r="J91" t="s">
        <v>3</v>
      </c>
      <c r="K91" t="s">
        <v>382</v>
      </c>
      <c r="L91">
        <v>608254</v>
      </c>
      <c r="N91">
        <v>1013</v>
      </c>
      <c r="O91" t="s">
        <v>383</v>
      </c>
      <c r="P91" t="s">
        <v>383</v>
      </c>
      <c r="Q91">
        <v>1</v>
      </c>
      <c r="W91">
        <v>0</v>
      </c>
      <c r="X91">
        <v>-185737400</v>
      </c>
      <c r="Y91">
        <v>25.75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20.6</v>
      </c>
      <c r="AU91" t="s">
        <v>12</v>
      </c>
      <c r="AV91">
        <v>2</v>
      </c>
      <c r="AW91">
        <v>2</v>
      </c>
      <c r="AX91">
        <v>39202433</v>
      </c>
      <c r="AY91">
        <v>1</v>
      </c>
      <c r="AZ91">
        <v>0</v>
      </c>
      <c r="BA91">
        <v>90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Y91*Source!I159</f>
        <v>1.5347</v>
      </c>
      <c r="CY91">
        <f>AD91</f>
        <v>0</v>
      </c>
      <c r="CZ91">
        <f>AH91</f>
        <v>0</v>
      </c>
      <c r="DA91">
        <f>AL91</f>
        <v>1</v>
      </c>
      <c r="DB91">
        <f t="shared" ref="DB91:DB96" si="16">ROUND((ROUND(AT91*CZ91,2)*1.25),2)</f>
        <v>0</v>
      </c>
      <c r="DC91">
        <f t="shared" ref="DC91:DC96" si="17">ROUND((ROUND(AT91*AG91,2)*1.25),2)</f>
        <v>0</v>
      </c>
    </row>
    <row r="92" spans="1:107" x14ac:dyDescent="0.2">
      <c r="A92">
        <f>ROW(Source!A159)</f>
        <v>159</v>
      </c>
      <c r="B92">
        <v>39201625</v>
      </c>
      <c r="C92">
        <v>39202422</v>
      </c>
      <c r="D92">
        <v>26553886</v>
      </c>
      <c r="E92">
        <v>1</v>
      </c>
      <c r="F92">
        <v>1</v>
      </c>
      <c r="G92">
        <v>1</v>
      </c>
      <c r="H92">
        <v>2</v>
      </c>
      <c r="I92" t="s">
        <v>429</v>
      </c>
      <c r="J92" t="s">
        <v>430</v>
      </c>
      <c r="K92" t="s">
        <v>431</v>
      </c>
      <c r="L92">
        <v>26553684</v>
      </c>
      <c r="N92">
        <v>1013</v>
      </c>
      <c r="O92" t="s">
        <v>387</v>
      </c>
      <c r="P92" t="s">
        <v>387</v>
      </c>
      <c r="Q92">
        <v>1</v>
      </c>
      <c r="W92">
        <v>0</v>
      </c>
      <c r="X92">
        <v>-1120646225</v>
      </c>
      <c r="Y92">
        <v>3.0750000000000002</v>
      </c>
      <c r="AA92">
        <v>0</v>
      </c>
      <c r="AB92">
        <v>89.81</v>
      </c>
      <c r="AC92">
        <v>9.8800000000000008</v>
      </c>
      <c r="AD92">
        <v>0</v>
      </c>
      <c r="AE92">
        <v>0</v>
      </c>
      <c r="AF92">
        <v>89.81</v>
      </c>
      <c r="AG92">
        <v>9.8800000000000008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2.46</v>
      </c>
      <c r="AU92" t="s">
        <v>12</v>
      </c>
      <c r="AV92">
        <v>0</v>
      </c>
      <c r="AW92">
        <v>2</v>
      </c>
      <c r="AX92">
        <v>39202434</v>
      </c>
      <c r="AY92">
        <v>1</v>
      </c>
      <c r="AZ92">
        <v>0</v>
      </c>
      <c r="BA92">
        <v>91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Y92*Source!I159</f>
        <v>0.18327000000000002</v>
      </c>
      <c r="CY92">
        <f>AB92</f>
        <v>89.81</v>
      </c>
      <c r="CZ92">
        <f>AF92</f>
        <v>89.81</v>
      </c>
      <c r="DA92">
        <f>AJ92</f>
        <v>1</v>
      </c>
      <c r="DB92">
        <f t="shared" si="16"/>
        <v>276.16000000000003</v>
      </c>
      <c r="DC92">
        <f t="shared" si="17"/>
        <v>30.38</v>
      </c>
    </row>
    <row r="93" spans="1:107" x14ac:dyDescent="0.2">
      <c r="A93">
        <f>ROW(Source!A159)</f>
        <v>159</v>
      </c>
      <c r="B93">
        <v>39201625</v>
      </c>
      <c r="C93">
        <v>39202422</v>
      </c>
      <c r="D93">
        <v>26554179</v>
      </c>
      <c r="E93">
        <v>1</v>
      </c>
      <c r="F93">
        <v>1</v>
      </c>
      <c r="G93">
        <v>1</v>
      </c>
      <c r="H93">
        <v>2</v>
      </c>
      <c r="I93" t="s">
        <v>388</v>
      </c>
      <c r="J93" t="s">
        <v>389</v>
      </c>
      <c r="K93" t="s">
        <v>390</v>
      </c>
      <c r="L93">
        <v>26553684</v>
      </c>
      <c r="N93">
        <v>1013</v>
      </c>
      <c r="O93" t="s">
        <v>387</v>
      </c>
      <c r="P93" t="s">
        <v>387</v>
      </c>
      <c r="Q93">
        <v>1</v>
      </c>
      <c r="W93">
        <v>0</v>
      </c>
      <c r="X93">
        <v>-1268920169</v>
      </c>
      <c r="Y93">
        <v>3.2374999999999998</v>
      </c>
      <c r="AA93">
        <v>0</v>
      </c>
      <c r="AB93">
        <v>79.75</v>
      </c>
      <c r="AC93">
        <v>13.26</v>
      </c>
      <c r="AD93">
        <v>0</v>
      </c>
      <c r="AE93">
        <v>0</v>
      </c>
      <c r="AF93">
        <v>79.75</v>
      </c>
      <c r="AG93">
        <v>13.26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2.59</v>
      </c>
      <c r="AU93" t="s">
        <v>12</v>
      </c>
      <c r="AV93">
        <v>0</v>
      </c>
      <c r="AW93">
        <v>2</v>
      </c>
      <c r="AX93">
        <v>39202435</v>
      </c>
      <c r="AY93">
        <v>1</v>
      </c>
      <c r="AZ93">
        <v>0</v>
      </c>
      <c r="BA93">
        <v>92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Y93*Source!I159</f>
        <v>0.19295499999999999</v>
      </c>
      <c r="CY93">
        <f>AB93</f>
        <v>79.75</v>
      </c>
      <c r="CZ93">
        <f>AF93</f>
        <v>79.75</v>
      </c>
      <c r="DA93">
        <f>AJ93</f>
        <v>1</v>
      </c>
      <c r="DB93">
        <f t="shared" si="16"/>
        <v>258.19</v>
      </c>
      <c r="DC93">
        <f t="shared" si="17"/>
        <v>42.93</v>
      </c>
    </row>
    <row r="94" spans="1:107" x14ac:dyDescent="0.2">
      <c r="A94">
        <f>ROW(Source!A159)</f>
        <v>159</v>
      </c>
      <c r="B94">
        <v>39201625</v>
      </c>
      <c r="C94">
        <v>39202422</v>
      </c>
      <c r="D94">
        <v>26554394</v>
      </c>
      <c r="E94">
        <v>1</v>
      </c>
      <c r="F94">
        <v>1</v>
      </c>
      <c r="G94">
        <v>1</v>
      </c>
      <c r="H94">
        <v>2</v>
      </c>
      <c r="I94" t="s">
        <v>432</v>
      </c>
      <c r="J94" t="s">
        <v>433</v>
      </c>
      <c r="K94" t="s">
        <v>434</v>
      </c>
      <c r="L94">
        <v>26553684</v>
      </c>
      <c r="N94">
        <v>1013</v>
      </c>
      <c r="O94" t="s">
        <v>387</v>
      </c>
      <c r="P94" t="s">
        <v>387</v>
      </c>
      <c r="Q94">
        <v>1</v>
      </c>
      <c r="W94">
        <v>0</v>
      </c>
      <c r="X94">
        <v>-1665323131</v>
      </c>
      <c r="Y94">
        <v>2.875</v>
      </c>
      <c r="AA94">
        <v>0</v>
      </c>
      <c r="AB94">
        <v>122.76</v>
      </c>
      <c r="AC94">
        <v>13.26</v>
      </c>
      <c r="AD94">
        <v>0</v>
      </c>
      <c r="AE94">
        <v>0</v>
      </c>
      <c r="AF94">
        <v>122.76</v>
      </c>
      <c r="AG94">
        <v>13.26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2.2999999999999998</v>
      </c>
      <c r="AU94" t="s">
        <v>12</v>
      </c>
      <c r="AV94">
        <v>0</v>
      </c>
      <c r="AW94">
        <v>2</v>
      </c>
      <c r="AX94">
        <v>39202436</v>
      </c>
      <c r="AY94">
        <v>1</v>
      </c>
      <c r="AZ94">
        <v>0</v>
      </c>
      <c r="BA94">
        <v>93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Y94*Source!I159</f>
        <v>0.17135</v>
      </c>
      <c r="CY94">
        <f>AB94</f>
        <v>122.76</v>
      </c>
      <c r="CZ94">
        <f>AF94</f>
        <v>122.76</v>
      </c>
      <c r="DA94">
        <f>AJ94</f>
        <v>1</v>
      </c>
      <c r="DB94">
        <f t="shared" si="16"/>
        <v>352.94</v>
      </c>
      <c r="DC94">
        <f t="shared" si="17"/>
        <v>38.130000000000003</v>
      </c>
    </row>
    <row r="95" spans="1:107" x14ac:dyDescent="0.2">
      <c r="A95">
        <f>ROW(Source!A159)</f>
        <v>159</v>
      </c>
      <c r="B95">
        <v>39201625</v>
      </c>
      <c r="C95">
        <v>39202422</v>
      </c>
      <c r="D95">
        <v>26554425</v>
      </c>
      <c r="E95">
        <v>1</v>
      </c>
      <c r="F95">
        <v>1</v>
      </c>
      <c r="G95">
        <v>1</v>
      </c>
      <c r="H95">
        <v>2</v>
      </c>
      <c r="I95" t="s">
        <v>435</v>
      </c>
      <c r="J95" t="s">
        <v>436</v>
      </c>
      <c r="K95" t="s">
        <v>437</v>
      </c>
      <c r="L95">
        <v>26553684</v>
      </c>
      <c r="N95">
        <v>1013</v>
      </c>
      <c r="O95" t="s">
        <v>387</v>
      </c>
      <c r="P95" t="s">
        <v>387</v>
      </c>
      <c r="Q95">
        <v>1</v>
      </c>
      <c r="W95">
        <v>0</v>
      </c>
      <c r="X95">
        <v>1425837406</v>
      </c>
      <c r="Y95">
        <v>15.262500000000001</v>
      </c>
      <c r="AA95">
        <v>0</v>
      </c>
      <c r="AB95">
        <v>205.75</v>
      </c>
      <c r="AC95">
        <v>14.14</v>
      </c>
      <c r="AD95">
        <v>0</v>
      </c>
      <c r="AE95">
        <v>0</v>
      </c>
      <c r="AF95">
        <v>205.75</v>
      </c>
      <c r="AG95">
        <v>14.14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12.21</v>
      </c>
      <c r="AU95" t="s">
        <v>12</v>
      </c>
      <c r="AV95">
        <v>0</v>
      </c>
      <c r="AW95">
        <v>2</v>
      </c>
      <c r="AX95">
        <v>39202437</v>
      </c>
      <c r="AY95">
        <v>1</v>
      </c>
      <c r="AZ95">
        <v>0</v>
      </c>
      <c r="BA95">
        <v>94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Y95*Source!I159</f>
        <v>0.90964500000000004</v>
      </c>
      <c r="CY95">
        <f>AB95</f>
        <v>205.75</v>
      </c>
      <c r="CZ95">
        <f>AF95</f>
        <v>205.75</v>
      </c>
      <c r="DA95">
        <f>AJ95</f>
        <v>1</v>
      </c>
      <c r="DB95">
        <f t="shared" si="16"/>
        <v>3140.26</v>
      </c>
      <c r="DC95">
        <f t="shared" si="17"/>
        <v>215.81</v>
      </c>
    </row>
    <row r="96" spans="1:107" x14ac:dyDescent="0.2">
      <c r="A96">
        <f>ROW(Source!A159)</f>
        <v>159</v>
      </c>
      <c r="B96">
        <v>39201625</v>
      </c>
      <c r="C96">
        <v>39202422</v>
      </c>
      <c r="D96">
        <v>26554486</v>
      </c>
      <c r="E96">
        <v>1</v>
      </c>
      <c r="F96">
        <v>1</v>
      </c>
      <c r="G96">
        <v>1</v>
      </c>
      <c r="H96">
        <v>2</v>
      </c>
      <c r="I96" t="s">
        <v>399</v>
      </c>
      <c r="J96" t="s">
        <v>400</v>
      </c>
      <c r="K96" t="s">
        <v>401</v>
      </c>
      <c r="L96">
        <v>26553684</v>
      </c>
      <c r="N96">
        <v>1013</v>
      </c>
      <c r="O96" t="s">
        <v>387</v>
      </c>
      <c r="P96" t="s">
        <v>387</v>
      </c>
      <c r="Q96">
        <v>1</v>
      </c>
      <c r="W96">
        <v>0</v>
      </c>
      <c r="X96">
        <v>-1654342457</v>
      </c>
      <c r="Y96">
        <v>1.3</v>
      </c>
      <c r="AA96">
        <v>0</v>
      </c>
      <c r="AB96">
        <v>110</v>
      </c>
      <c r="AC96">
        <v>11.38</v>
      </c>
      <c r="AD96">
        <v>0</v>
      </c>
      <c r="AE96">
        <v>0</v>
      </c>
      <c r="AF96">
        <v>110</v>
      </c>
      <c r="AG96">
        <v>11.38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1.04</v>
      </c>
      <c r="AU96" t="s">
        <v>12</v>
      </c>
      <c r="AV96">
        <v>0</v>
      </c>
      <c r="AW96">
        <v>2</v>
      </c>
      <c r="AX96">
        <v>39202438</v>
      </c>
      <c r="AY96">
        <v>1</v>
      </c>
      <c r="AZ96">
        <v>0</v>
      </c>
      <c r="BA96">
        <v>95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Y96*Source!I159</f>
        <v>7.7480000000000007E-2</v>
      </c>
      <c r="CY96">
        <f>AB96</f>
        <v>110</v>
      </c>
      <c r="CZ96">
        <f>AF96</f>
        <v>110</v>
      </c>
      <c r="DA96">
        <f>AJ96</f>
        <v>1</v>
      </c>
      <c r="DB96">
        <f t="shared" si="16"/>
        <v>143</v>
      </c>
      <c r="DC96">
        <f t="shared" si="17"/>
        <v>14.8</v>
      </c>
    </row>
    <row r="97" spans="1:107" x14ac:dyDescent="0.2">
      <c r="A97">
        <f>ROW(Source!A159)</f>
        <v>159</v>
      </c>
      <c r="B97">
        <v>39201625</v>
      </c>
      <c r="C97">
        <v>39202422</v>
      </c>
      <c r="D97">
        <v>26607598</v>
      </c>
      <c r="E97">
        <v>1</v>
      </c>
      <c r="F97">
        <v>1</v>
      </c>
      <c r="G97">
        <v>1</v>
      </c>
      <c r="H97">
        <v>3</v>
      </c>
      <c r="I97" t="s">
        <v>141</v>
      </c>
      <c r="J97" t="s">
        <v>143</v>
      </c>
      <c r="K97" t="s">
        <v>142</v>
      </c>
      <c r="L97">
        <v>1339</v>
      </c>
      <c r="N97">
        <v>1007</v>
      </c>
      <c r="O97" t="s">
        <v>130</v>
      </c>
      <c r="P97" t="s">
        <v>130</v>
      </c>
      <c r="Q97">
        <v>1</v>
      </c>
      <c r="W97">
        <v>0</v>
      </c>
      <c r="X97">
        <v>1276216311</v>
      </c>
      <c r="Y97">
        <v>126</v>
      </c>
      <c r="AA97">
        <v>127.2</v>
      </c>
      <c r="AB97">
        <v>0</v>
      </c>
      <c r="AC97">
        <v>0</v>
      </c>
      <c r="AD97">
        <v>0</v>
      </c>
      <c r="AE97">
        <v>127.2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1</v>
      </c>
      <c r="AO97">
        <v>0</v>
      </c>
      <c r="AP97">
        <v>0</v>
      </c>
      <c r="AQ97">
        <v>0</v>
      </c>
      <c r="AR97">
        <v>0</v>
      </c>
      <c r="AS97" t="s">
        <v>3</v>
      </c>
      <c r="AT97">
        <v>126</v>
      </c>
      <c r="AU97" t="s">
        <v>3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Y97*Source!I159</f>
        <v>7.5095999999999998</v>
      </c>
      <c r="CY97">
        <f>AA97</f>
        <v>127.2</v>
      </c>
      <c r="CZ97">
        <f>AE97</f>
        <v>127.2</v>
      </c>
      <c r="DA97">
        <f>AI97</f>
        <v>1</v>
      </c>
      <c r="DB97">
        <f>ROUND(ROUND(AT97*CZ97,2),2)</f>
        <v>16027.2</v>
      </c>
      <c r="DC97">
        <f>ROUND(ROUND(AT97*AG97,2),2)</f>
        <v>0</v>
      </c>
    </row>
    <row r="98" spans="1:107" x14ac:dyDescent="0.2">
      <c r="A98">
        <f>ROW(Source!A159)</f>
        <v>159</v>
      </c>
      <c r="B98">
        <v>39201625</v>
      </c>
      <c r="C98">
        <v>39202422</v>
      </c>
      <c r="D98">
        <v>26608102</v>
      </c>
      <c r="E98">
        <v>1</v>
      </c>
      <c r="F98">
        <v>1</v>
      </c>
      <c r="G98">
        <v>1</v>
      </c>
      <c r="H98">
        <v>3</v>
      </c>
      <c r="I98" t="s">
        <v>408</v>
      </c>
      <c r="J98" t="s">
        <v>409</v>
      </c>
      <c r="K98" t="s">
        <v>410</v>
      </c>
      <c r="L98">
        <v>1339</v>
      </c>
      <c r="N98">
        <v>1007</v>
      </c>
      <c r="O98" t="s">
        <v>130</v>
      </c>
      <c r="P98" t="s">
        <v>130</v>
      </c>
      <c r="Q98">
        <v>1</v>
      </c>
      <c r="W98">
        <v>0</v>
      </c>
      <c r="X98">
        <v>-1025641989</v>
      </c>
      <c r="Y98">
        <v>7</v>
      </c>
      <c r="AA98">
        <v>2.2599999999999998</v>
      </c>
      <c r="AB98">
        <v>0</v>
      </c>
      <c r="AC98">
        <v>0</v>
      </c>
      <c r="AD98">
        <v>0</v>
      </c>
      <c r="AE98">
        <v>2.2599999999999998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7</v>
      </c>
      <c r="AU98" t="s">
        <v>3</v>
      </c>
      <c r="AV98">
        <v>0</v>
      </c>
      <c r="AW98">
        <v>2</v>
      </c>
      <c r="AX98">
        <v>39202440</v>
      </c>
      <c r="AY98">
        <v>1</v>
      </c>
      <c r="AZ98">
        <v>0</v>
      </c>
      <c r="BA98">
        <v>97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Y98*Source!I159</f>
        <v>0.41720000000000002</v>
      </c>
      <c r="CY98">
        <f>AA98</f>
        <v>2.2599999999999998</v>
      </c>
      <c r="CZ98">
        <f>AE98</f>
        <v>2.2599999999999998</v>
      </c>
      <c r="DA98">
        <f>AI98</f>
        <v>1</v>
      </c>
      <c r="DB98">
        <f>ROUND(ROUND(AT98*CZ98,2),2)</f>
        <v>15.82</v>
      </c>
      <c r="DC98">
        <f>ROUND(ROUND(AT98*AG98,2),2)</f>
        <v>0</v>
      </c>
    </row>
    <row r="99" spans="1:107" x14ac:dyDescent="0.2">
      <c r="A99">
        <f>ROW(Source!A161)</f>
        <v>161</v>
      </c>
      <c r="B99">
        <v>39201625</v>
      </c>
      <c r="C99">
        <v>39202442</v>
      </c>
      <c r="D99">
        <v>24225432</v>
      </c>
      <c r="E99">
        <v>1</v>
      </c>
      <c r="F99">
        <v>1</v>
      </c>
      <c r="G99">
        <v>1</v>
      </c>
      <c r="H99">
        <v>1</v>
      </c>
      <c r="I99" t="s">
        <v>394</v>
      </c>
      <c r="J99" t="s">
        <v>3</v>
      </c>
      <c r="K99" t="s">
        <v>395</v>
      </c>
      <c r="L99">
        <v>1476</v>
      </c>
      <c r="N99">
        <v>1013</v>
      </c>
      <c r="O99" t="s">
        <v>380</v>
      </c>
      <c r="P99" t="s">
        <v>381</v>
      </c>
      <c r="Q99">
        <v>1</v>
      </c>
      <c r="W99">
        <v>0</v>
      </c>
      <c r="X99">
        <v>1477335111</v>
      </c>
      <c r="Y99">
        <v>87.49199999999999</v>
      </c>
      <c r="AA99">
        <v>0</v>
      </c>
      <c r="AB99">
        <v>0</v>
      </c>
      <c r="AC99">
        <v>0</v>
      </c>
      <c r="AD99">
        <v>6.88</v>
      </c>
      <c r="AE99">
        <v>0</v>
      </c>
      <c r="AF99">
        <v>0</v>
      </c>
      <c r="AG99">
        <v>0</v>
      </c>
      <c r="AH99">
        <v>6.88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76.08</v>
      </c>
      <c r="AU99" t="s">
        <v>13</v>
      </c>
      <c r="AV99">
        <v>1</v>
      </c>
      <c r="AW99">
        <v>2</v>
      </c>
      <c r="AX99">
        <v>39202452</v>
      </c>
      <c r="AY99">
        <v>1</v>
      </c>
      <c r="AZ99">
        <v>0</v>
      </c>
      <c r="BA99">
        <v>98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Y99*Source!I161</f>
        <v>289.77350399999995</v>
      </c>
      <c r="CY99">
        <f>AD99</f>
        <v>6.88</v>
      </c>
      <c r="CZ99">
        <f>AH99</f>
        <v>6.88</v>
      </c>
      <c r="DA99">
        <f>AL99</f>
        <v>1</v>
      </c>
      <c r="DB99">
        <f>ROUND((ROUND(AT99*CZ99,2)*1.15),2)</f>
        <v>601.94000000000005</v>
      </c>
      <c r="DC99">
        <f>ROUND((ROUND(AT99*AG99,2)*1.15),2)</f>
        <v>0</v>
      </c>
    </row>
    <row r="100" spans="1:107" x14ac:dyDescent="0.2">
      <c r="A100">
        <f>ROW(Source!A161)</f>
        <v>161</v>
      </c>
      <c r="B100">
        <v>39201625</v>
      </c>
      <c r="C100">
        <v>39202442</v>
      </c>
      <c r="D100">
        <v>121548</v>
      </c>
      <c r="E100">
        <v>1</v>
      </c>
      <c r="F100">
        <v>1</v>
      </c>
      <c r="G100">
        <v>1</v>
      </c>
      <c r="H100">
        <v>1</v>
      </c>
      <c r="I100" t="s">
        <v>26</v>
      </c>
      <c r="J100" t="s">
        <v>3</v>
      </c>
      <c r="K100" t="s">
        <v>382</v>
      </c>
      <c r="L100">
        <v>608254</v>
      </c>
      <c r="N100">
        <v>1013</v>
      </c>
      <c r="O100" t="s">
        <v>383</v>
      </c>
      <c r="P100" t="s">
        <v>383</v>
      </c>
      <c r="Q100">
        <v>1</v>
      </c>
      <c r="W100">
        <v>0</v>
      </c>
      <c r="X100">
        <v>-185737400</v>
      </c>
      <c r="Y100">
        <v>0.85000000000000009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0.68</v>
      </c>
      <c r="AU100" t="s">
        <v>12</v>
      </c>
      <c r="AV100">
        <v>2</v>
      </c>
      <c r="AW100">
        <v>2</v>
      </c>
      <c r="AX100">
        <v>39202453</v>
      </c>
      <c r="AY100">
        <v>1</v>
      </c>
      <c r="AZ100">
        <v>0</v>
      </c>
      <c r="BA100">
        <v>99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Y100*Source!I161</f>
        <v>2.8152000000000004</v>
      </c>
      <c r="CY100">
        <f>AD100</f>
        <v>0</v>
      </c>
      <c r="CZ100">
        <f>AH100</f>
        <v>0</v>
      </c>
      <c r="DA100">
        <f>AL100</f>
        <v>1</v>
      </c>
      <c r="DB100">
        <f>ROUND((ROUND(AT100*CZ100,2)*1.25),2)</f>
        <v>0</v>
      </c>
      <c r="DC100">
        <f>ROUND((ROUND(AT100*AG100,2)*1.25),2)</f>
        <v>0</v>
      </c>
    </row>
    <row r="101" spans="1:107" x14ac:dyDescent="0.2">
      <c r="A101">
        <f>ROW(Source!A161)</f>
        <v>161</v>
      </c>
      <c r="B101">
        <v>39201625</v>
      </c>
      <c r="C101">
        <v>39202442</v>
      </c>
      <c r="D101">
        <v>26553813</v>
      </c>
      <c r="E101">
        <v>1</v>
      </c>
      <c r="F101">
        <v>1</v>
      </c>
      <c r="G101">
        <v>1</v>
      </c>
      <c r="H101">
        <v>2</v>
      </c>
      <c r="I101" t="s">
        <v>446</v>
      </c>
      <c r="J101" t="s">
        <v>447</v>
      </c>
      <c r="K101" t="s">
        <v>448</v>
      </c>
      <c r="L101">
        <v>26553684</v>
      </c>
      <c r="N101">
        <v>1013</v>
      </c>
      <c r="O101" t="s">
        <v>387</v>
      </c>
      <c r="P101" t="s">
        <v>387</v>
      </c>
      <c r="Q101">
        <v>1</v>
      </c>
      <c r="W101">
        <v>0</v>
      </c>
      <c r="X101">
        <v>79867837</v>
      </c>
      <c r="Y101">
        <v>0.85000000000000009</v>
      </c>
      <c r="AA101">
        <v>0</v>
      </c>
      <c r="AB101">
        <v>111.75</v>
      </c>
      <c r="AC101">
        <v>13.26</v>
      </c>
      <c r="AD101">
        <v>0</v>
      </c>
      <c r="AE101">
        <v>0</v>
      </c>
      <c r="AF101">
        <v>111.75</v>
      </c>
      <c r="AG101">
        <v>13.26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0.68</v>
      </c>
      <c r="AU101" t="s">
        <v>12</v>
      </c>
      <c r="AV101">
        <v>0</v>
      </c>
      <c r="AW101">
        <v>2</v>
      </c>
      <c r="AX101">
        <v>39202454</v>
      </c>
      <c r="AY101">
        <v>1</v>
      </c>
      <c r="AZ101">
        <v>0</v>
      </c>
      <c r="BA101">
        <v>100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Y101*Source!I161</f>
        <v>2.8152000000000004</v>
      </c>
      <c r="CY101">
        <f>AB101</f>
        <v>111.75</v>
      </c>
      <c r="CZ101">
        <f>AF101</f>
        <v>111.75</v>
      </c>
      <c r="DA101">
        <f>AJ101</f>
        <v>1</v>
      </c>
      <c r="DB101">
        <f>ROUND((ROUND(AT101*CZ101,2)*1.25),2)</f>
        <v>94.99</v>
      </c>
      <c r="DC101">
        <f>ROUND((ROUND(AT101*AG101,2)*1.25),2)</f>
        <v>11.28</v>
      </c>
    </row>
    <row r="102" spans="1:107" x14ac:dyDescent="0.2">
      <c r="A102">
        <f>ROW(Source!A161)</f>
        <v>161</v>
      </c>
      <c r="B102">
        <v>39201625</v>
      </c>
      <c r="C102">
        <v>39202442</v>
      </c>
      <c r="D102">
        <v>26555822</v>
      </c>
      <c r="E102">
        <v>1</v>
      </c>
      <c r="F102">
        <v>1</v>
      </c>
      <c r="G102">
        <v>1</v>
      </c>
      <c r="H102">
        <v>2</v>
      </c>
      <c r="I102" t="s">
        <v>461</v>
      </c>
      <c r="J102" t="s">
        <v>462</v>
      </c>
      <c r="K102" t="s">
        <v>463</v>
      </c>
      <c r="L102">
        <v>26553684</v>
      </c>
      <c r="N102">
        <v>1013</v>
      </c>
      <c r="O102" t="s">
        <v>387</v>
      </c>
      <c r="P102" t="s">
        <v>387</v>
      </c>
      <c r="Q102">
        <v>1</v>
      </c>
      <c r="W102">
        <v>0</v>
      </c>
      <c r="X102">
        <v>210745813</v>
      </c>
      <c r="Y102">
        <v>0.05</v>
      </c>
      <c r="AA102">
        <v>0</v>
      </c>
      <c r="AB102">
        <v>86.55</v>
      </c>
      <c r="AC102">
        <v>0</v>
      </c>
      <c r="AD102">
        <v>0</v>
      </c>
      <c r="AE102">
        <v>0</v>
      </c>
      <c r="AF102">
        <v>86.55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0.04</v>
      </c>
      <c r="AU102" t="s">
        <v>12</v>
      </c>
      <c r="AV102">
        <v>0</v>
      </c>
      <c r="AW102">
        <v>2</v>
      </c>
      <c r="AX102">
        <v>39202455</v>
      </c>
      <c r="AY102">
        <v>1</v>
      </c>
      <c r="AZ102">
        <v>0</v>
      </c>
      <c r="BA102">
        <v>101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Y102*Source!I161</f>
        <v>0.1656</v>
      </c>
      <c r="CY102">
        <f>AB102</f>
        <v>86.55</v>
      </c>
      <c r="CZ102">
        <f>AF102</f>
        <v>86.55</v>
      </c>
      <c r="DA102">
        <f>AJ102</f>
        <v>1</v>
      </c>
      <c r="DB102">
        <f>ROUND((ROUND(AT102*CZ102,2)*1.25),2)</f>
        <v>4.33</v>
      </c>
      <c r="DC102">
        <f>ROUND((ROUND(AT102*AG102,2)*1.25),2)</f>
        <v>0</v>
      </c>
    </row>
    <row r="103" spans="1:107" x14ac:dyDescent="0.2">
      <c r="A103">
        <f>ROW(Source!A161)</f>
        <v>161</v>
      </c>
      <c r="B103">
        <v>39201625</v>
      </c>
      <c r="C103">
        <v>39202442</v>
      </c>
      <c r="D103">
        <v>26558869</v>
      </c>
      <c r="E103">
        <v>1</v>
      </c>
      <c r="F103">
        <v>1</v>
      </c>
      <c r="G103">
        <v>1</v>
      </c>
      <c r="H103">
        <v>3</v>
      </c>
      <c r="I103" t="s">
        <v>479</v>
      </c>
      <c r="J103" t="s">
        <v>480</v>
      </c>
      <c r="K103" t="s">
        <v>481</v>
      </c>
      <c r="L103">
        <v>1348</v>
      </c>
      <c r="N103">
        <v>1009</v>
      </c>
      <c r="O103" t="s">
        <v>169</v>
      </c>
      <c r="P103" t="s">
        <v>169</v>
      </c>
      <c r="Q103">
        <v>1000</v>
      </c>
      <c r="W103">
        <v>0</v>
      </c>
      <c r="X103">
        <v>-1791058657</v>
      </c>
      <c r="Y103">
        <v>1E-3</v>
      </c>
      <c r="AA103">
        <v>10992.4</v>
      </c>
      <c r="AB103">
        <v>0</v>
      </c>
      <c r="AC103">
        <v>0</v>
      </c>
      <c r="AD103">
        <v>0</v>
      </c>
      <c r="AE103">
        <v>10992.4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1E-3</v>
      </c>
      <c r="AU103" t="s">
        <v>3</v>
      </c>
      <c r="AV103">
        <v>0</v>
      </c>
      <c r="AW103">
        <v>2</v>
      </c>
      <c r="AX103">
        <v>39202456</v>
      </c>
      <c r="AY103">
        <v>1</v>
      </c>
      <c r="AZ103">
        <v>0</v>
      </c>
      <c r="BA103">
        <v>102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Y103*Source!I161</f>
        <v>3.3119999999999998E-3</v>
      </c>
      <c r="CY103">
        <f>AA103</f>
        <v>10992.4</v>
      </c>
      <c r="CZ103">
        <f>AE103</f>
        <v>10992.4</v>
      </c>
      <c r="DA103">
        <f>AI103</f>
        <v>1</v>
      </c>
      <c r="DB103">
        <f>ROUND(ROUND(AT103*CZ103,2),2)</f>
        <v>10.99</v>
      </c>
      <c r="DC103">
        <f>ROUND(ROUND(AT103*AG103,2),2)</f>
        <v>0</v>
      </c>
    </row>
    <row r="104" spans="1:107" x14ac:dyDescent="0.2">
      <c r="A104">
        <f>ROW(Source!A161)</f>
        <v>161</v>
      </c>
      <c r="B104">
        <v>39201625</v>
      </c>
      <c r="C104">
        <v>39202442</v>
      </c>
      <c r="D104">
        <v>26565923</v>
      </c>
      <c r="E104">
        <v>1</v>
      </c>
      <c r="F104">
        <v>1</v>
      </c>
      <c r="G104">
        <v>1</v>
      </c>
      <c r="H104">
        <v>3</v>
      </c>
      <c r="I104" t="s">
        <v>482</v>
      </c>
      <c r="J104" t="s">
        <v>483</v>
      </c>
      <c r="K104" t="s">
        <v>484</v>
      </c>
      <c r="L104">
        <v>1339</v>
      </c>
      <c r="N104">
        <v>1007</v>
      </c>
      <c r="O104" t="s">
        <v>130</v>
      </c>
      <c r="P104" t="s">
        <v>130</v>
      </c>
      <c r="Q104">
        <v>1</v>
      </c>
      <c r="W104">
        <v>0</v>
      </c>
      <c r="X104">
        <v>639836162</v>
      </c>
      <c r="Y104">
        <v>0.17</v>
      </c>
      <c r="AA104">
        <v>813.06</v>
      </c>
      <c r="AB104">
        <v>0</v>
      </c>
      <c r="AC104">
        <v>0</v>
      </c>
      <c r="AD104">
        <v>0</v>
      </c>
      <c r="AE104">
        <v>813.06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0.17</v>
      </c>
      <c r="AU104" t="s">
        <v>3</v>
      </c>
      <c r="AV104">
        <v>0</v>
      </c>
      <c r="AW104">
        <v>2</v>
      </c>
      <c r="AX104">
        <v>39202457</v>
      </c>
      <c r="AY104">
        <v>1</v>
      </c>
      <c r="AZ104">
        <v>0</v>
      </c>
      <c r="BA104">
        <v>103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Y104*Source!I161</f>
        <v>0.56303999999999998</v>
      </c>
      <c r="CY104">
        <f>AA104</f>
        <v>813.06</v>
      </c>
      <c r="CZ104">
        <f>AE104</f>
        <v>813.06</v>
      </c>
      <c r="DA104">
        <f>AI104</f>
        <v>1</v>
      </c>
      <c r="DB104">
        <f>ROUND(ROUND(AT104*CZ104,2),2)</f>
        <v>138.22</v>
      </c>
      <c r="DC104">
        <f>ROUND(ROUND(AT104*AG104,2),2)</f>
        <v>0</v>
      </c>
    </row>
    <row r="105" spans="1:107" x14ac:dyDescent="0.2">
      <c r="A105">
        <f>ROW(Source!A161)</f>
        <v>161</v>
      </c>
      <c r="B105">
        <v>39201625</v>
      </c>
      <c r="C105">
        <v>39202442</v>
      </c>
      <c r="D105">
        <v>26597173</v>
      </c>
      <c r="E105">
        <v>1</v>
      </c>
      <c r="F105">
        <v>1</v>
      </c>
      <c r="G105">
        <v>1</v>
      </c>
      <c r="H105">
        <v>3</v>
      </c>
      <c r="I105" t="s">
        <v>485</v>
      </c>
      <c r="J105" t="s">
        <v>486</v>
      </c>
      <c r="K105" t="s">
        <v>487</v>
      </c>
      <c r="L105">
        <v>1339</v>
      </c>
      <c r="N105">
        <v>1007</v>
      </c>
      <c r="O105" t="s">
        <v>130</v>
      </c>
      <c r="P105" t="s">
        <v>130</v>
      </c>
      <c r="Q105">
        <v>1</v>
      </c>
      <c r="W105">
        <v>0</v>
      </c>
      <c r="X105">
        <v>-452102078</v>
      </c>
      <c r="Y105">
        <v>5.9</v>
      </c>
      <c r="AA105">
        <v>550.19000000000005</v>
      </c>
      <c r="AB105">
        <v>0</v>
      </c>
      <c r="AC105">
        <v>0</v>
      </c>
      <c r="AD105">
        <v>0</v>
      </c>
      <c r="AE105">
        <v>550.19000000000005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5.9</v>
      </c>
      <c r="AU105" t="s">
        <v>3</v>
      </c>
      <c r="AV105">
        <v>0</v>
      </c>
      <c r="AW105">
        <v>2</v>
      </c>
      <c r="AX105">
        <v>39202458</v>
      </c>
      <c r="AY105">
        <v>1</v>
      </c>
      <c r="AZ105">
        <v>0</v>
      </c>
      <c r="BA105">
        <v>104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Y105*Source!I161</f>
        <v>19.540800000000001</v>
      </c>
      <c r="CY105">
        <f>AA105</f>
        <v>550.19000000000005</v>
      </c>
      <c r="CZ105">
        <f>AE105</f>
        <v>550.19000000000005</v>
      </c>
      <c r="DA105">
        <f>AI105</f>
        <v>1</v>
      </c>
      <c r="DB105">
        <f>ROUND(ROUND(AT105*CZ105,2),2)</f>
        <v>3246.12</v>
      </c>
      <c r="DC105">
        <f>ROUND(ROUND(AT105*AG105,2),2)</f>
        <v>0</v>
      </c>
    </row>
    <row r="106" spans="1:107" x14ac:dyDescent="0.2">
      <c r="A106">
        <f>ROW(Source!A161)</f>
        <v>161</v>
      </c>
      <c r="B106">
        <v>39201625</v>
      </c>
      <c r="C106">
        <v>39202442</v>
      </c>
      <c r="D106">
        <v>26597747</v>
      </c>
      <c r="E106">
        <v>1</v>
      </c>
      <c r="F106">
        <v>1</v>
      </c>
      <c r="G106">
        <v>1</v>
      </c>
      <c r="H106">
        <v>3</v>
      </c>
      <c r="I106" t="s">
        <v>488</v>
      </c>
      <c r="J106" t="s">
        <v>489</v>
      </c>
      <c r="K106" t="s">
        <v>490</v>
      </c>
      <c r="L106">
        <v>1339</v>
      </c>
      <c r="N106">
        <v>1007</v>
      </c>
      <c r="O106" t="s">
        <v>130</v>
      </c>
      <c r="P106" t="s">
        <v>130</v>
      </c>
      <c r="Q106">
        <v>1</v>
      </c>
      <c r="W106">
        <v>0</v>
      </c>
      <c r="X106">
        <v>895118465</v>
      </c>
      <c r="Y106">
        <v>0.06</v>
      </c>
      <c r="AA106">
        <v>484.14</v>
      </c>
      <c r="AB106">
        <v>0</v>
      </c>
      <c r="AC106">
        <v>0</v>
      </c>
      <c r="AD106">
        <v>0</v>
      </c>
      <c r="AE106">
        <v>484.14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0.06</v>
      </c>
      <c r="AU106" t="s">
        <v>3</v>
      </c>
      <c r="AV106">
        <v>0</v>
      </c>
      <c r="AW106">
        <v>2</v>
      </c>
      <c r="AX106">
        <v>39202459</v>
      </c>
      <c r="AY106">
        <v>1</v>
      </c>
      <c r="AZ106">
        <v>0</v>
      </c>
      <c r="BA106">
        <v>105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Y106*Source!I161</f>
        <v>0.19871999999999998</v>
      </c>
      <c r="CY106">
        <f>AA106</f>
        <v>484.14</v>
      </c>
      <c r="CZ106">
        <f>AE106</f>
        <v>484.14</v>
      </c>
      <c r="DA106">
        <f>AI106</f>
        <v>1</v>
      </c>
      <c r="DB106">
        <f>ROUND(ROUND(AT106*CZ106,2),2)</f>
        <v>29.05</v>
      </c>
      <c r="DC106">
        <f>ROUND(ROUND(AT106*AG106,2),2)</f>
        <v>0</v>
      </c>
    </row>
    <row r="107" spans="1:107" x14ac:dyDescent="0.2">
      <c r="A107">
        <f>ROW(Source!A161)</f>
        <v>161</v>
      </c>
      <c r="B107">
        <v>39201625</v>
      </c>
      <c r="C107">
        <v>39202442</v>
      </c>
      <c r="D107">
        <v>26605709</v>
      </c>
      <c r="E107">
        <v>1</v>
      </c>
      <c r="F107">
        <v>1</v>
      </c>
      <c r="G107">
        <v>1</v>
      </c>
      <c r="H107">
        <v>3</v>
      </c>
      <c r="I107" t="s">
        <v>196</v>
      </c>
      <c r="J107" t="s">
        <v>199</v>
      </c>
      <c r="K107" t="s">
        <v>197</v>
      </c>
      <c r="L107">
        <v>1354</v>
      </c>
      <c r="N107">
        <v>1010</v>
      </c>
      <c r="O107" t="s">
        <v>198</v>
      </c>
      <c r="P107" t="s">
        <v>198</v>
      </c>
      <c r="Q107">
        <v>1</v>
      </c>
      <c r="W107">
        <v>0</v>
      </c>
      <c r="X107">
        <v>2131618908</v>
      </c>
      <c r="Y107">
        <v>100</v>
      </c>
      <c r="AA107">
        <v>58.45</v>
      </c>
      <c r="AB107">
        <v>0</v>
      </c>
      <c r="AC107">
        <v>0</v>
      </c>
      <c r="AD107">
        <v>0</v>
      </c>
      <c r="AE107">
        <v>58.45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1</v>
      </c>
      <c r="AO107">
        <v>0</v>
      </c>
      <c r="AP107">
        <v>0</v>
      </c>
      <c r="AQ107">
        <v>0</v>
      </c>
      <c r="AR107">
        <v>0</v>
      </c>
      <c r="AS107" t="s">
        <v>3</v>
      </c>
      <c r="AT107">
        <v>100</v>
      </c>
      <c r="AU107" t="s">
        <v>3</v>
      </c>
      <c r="AV107">
        <v>0</v>
      </c>
      <c r="AW107">
        <v>1</v>
      </c>
      <c r="AX107">
        <v>-1</v>
      </c>
      <c r="AY107">
        <v>0</v>
      </c>
      <c r="AZ107">
        <v>0</v>
      </c>
      <c r="BA107" t="s">
        <v>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Y107*Source!I161</f>
        <v>331.2</v>
      </c>
      <c r="CY107">
        <f>AA107</f>
        <v>58.45</v>
      </c>
      <c r="CZ107">
        <f>AE107</f>
        <v>58.45</v>
      </c>
      <c r="DA107">
        <f>AI107</f>
        <v>1</v>
      </c>
      <c r="DB107">
        <f>ROUND(ROUND(AT107*CZ107,2),2)</f>
        <v>5845</v>
      </c>
      <c r="DC107">
        <f>ROUND(ROUND(AT107*AG107,2),2)</f>
        <v>0</v>
      </c>
    </row>
    <row r="108" spans="1:107" x14ac:dyDescent="0.2">
      <c r="A108">
        <f>ROW(Source!A163)</f>
        <v>163</v>
      </c>
      <c r="B108">
        <v>39201625</v>
      </c>
      <c r="C108">
        <v>39202462</v>
      </c>
      <c r="D108">
        <v>24288154</v>
      </c>
      <c r="E108">
        <v>1</v>
      </c>
      <c r="F108">
        <v>1</v>
      </c>
      <c r="G108">
        <v>1</v>
      </c>
      <c r="H108">
        <v>1</v>
      </c>
      <c r="I108" t="s">
        <v>491</v>
      </c>
      <c r="J108" t="s">
        <v>3</v>
      </c>
      <c r="K108" t="s">
        <v>492</v>
      </c>
      <c r="L108">
        <v>1476</v>
      </c>
      <c r="N108">
        <v>1013</v>
      </c>
      <c r="O108" t="s">
        <v>380</v>
      </c>
      <c r="P108" t="s">
        <v>381</v>
      </c>
      <c r="Q108">
        <v>1</v>
      </c>
      <c r="W108">
        <v>0</v>
      </c>
      <c r="X108">
        <v>-1949506561</v>
      </c>
      <c r="Y108">
        <v>101.77499999999999</v>
      </c>
      <c r="AA108">
        <v>0</v>
      </c>
      <c r="AB108">
        <v>0</v>
      </c>
      <c r="AC108">
        <v>0</v>
      </c>
      <c r="AD108">
        <v>6.1</v>
      </c>
      <c r="AE108">
        <v>0</v>
      </c>
      <c r="AF108">
        <v>0</v>
      </c>
      <c r="AG108">
        <v>0</v>
      </c>
      <c r="AH108">
        <v>6.1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88.5</v>
      </c>
      <c r="AU108" t="s">
        <v>13</v>
      </c>
      <c r="AV108">
        <v>1</v>
      </c>
      <c r="AW108">
        <v>2</v>
      </c>
      <c r="AX108">
        <v>39202464</v>
      </c>
      <c r="AY108">
        <v>1</v>
      </c>
      <c r="AZ108">
        <v>0</v>
      </c>
      <c r="BA108">
        <v>107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Y108*Source!I163</f>
        <v>6.0657899999999998</v>
      </c>
      <c r="CY108">
        <f>AD108</f>
        <v>6.1</v>
      </c>
      <c r="CZ108">
        <f>AH108</f>
        <v>6.1</v>
      </c>
      <c r="DA108">
        <f>AL108</f>
        <v>1</v>
      </c>
      <c r="DB108">
        <f>ROUND((ROUND(AT108*CZ108,2)*1.15),2)</f>
        <v>620.83000000000004</v>
      </c>
      <c r="DC108">
        <f>ROUND((ROUND(AT108*AG108,2)*1.15),2)</f>
        <v>0</v>
      </c>
    </row>
    <row r="109" spans="1:107" x14ac:dyDescent="0.2">
      <c r="A109">
        <f>ROW(Source!A201)</f>
        <v>201</v>
      </c>
      <c r="B109">
        <v>39201625</v>
      </c>
      <c r="C109">
        <v>39202597</v>
      </c>
      <c r="D109">
        <v>24233608</v>
      </c>
      <c r="E109">
        <v>1</v>
      </c>
      <c r="F109">
        <v>1</v>
      </c>
      <c r="G109">
        <v>1</v>
      </c>
      <c r="H109">
        <v>1</v>
      </c>
      <c r="I109" t="s">
        <v>419</v>
      </c>
      <c r="J109" t="s">
        <v>3</v>
      </c>
      <c r="K109" t="s">
        <v>420</v>
      </c>
      <c r="L109">
        <v>1476</v>
      </c>
      <c r="N109">
        <v>1013</v>
      </c>
      <c r="O109" t="s">
        <v>380</v>
      </c>
      <c r="P109" t="s">
        <v>381</v>
      </c>
      <c r="Q109">
        <v>1</v>
      </c>
      <c r="W109">
        <v>0</v>
      </c>
      <c r="X109">
        <v>1809359306</v>
      </c>
      <c r="Y109">
        <v>322</v>
      </c>
      <c r="AA109">
        <v>0</v>
      </c>
      <c r="AB109">
        <v>0</v>
      </c>
      <c r="AC109">
        <v>0</v>
      </c>
      <c r="AD109">
        <v>6.35</v>
      </c>
      <c r="AE109">
        <v>0</v>
      </c>
      <c r="AF109">
        <v>0</v>
      </c>
      <c r="AG109">
        <v>0</v>
      </c>
      <c r="AH109">
        <v>6.35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280</v>
      </c>
      <c r="AU109" t="s">
        <v>13</v>
      </c>
      <c r="AV109">
        <v>1</v>
      </c>
      <c r="AW109">
        <v>2</v>
      </c>
      <c r="AX109">
        <v>39202599</v>
      </c>
      <c r="AY109">
        <v>1</v>
      </c>
      <c r="AZ109">
        <v>0</v>
      </c>
      <c r="BA109">
        <v>108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Y109*Source!I201</f>
        <v>0.35420000000000001</v>
      </c>
      <c r="CY109">
        <f>AD109</f>
        <v>6.35</v>
      </c>
      <c r="CZ109">
        <f>AH109</f>
        <v>6.35</v>
      </c>
      <c r="DA109">
        <f>AL109</f>
        <v>1</v>
      </c>
      <c r="DB109">
        <f>ROUND((ROUND(AT109*CZ109,2)*1.15),2)</f>
        <v>2044.7</v>
      </c>
      <c r="DC109">
        <f>ROUND((ROUND(AT109*AG109,2)*1.15),2)</f>
        <v>0</v>
      </c>
    </row>
    <row r="110" spans="1:107" x14ac:dyDescent="0.2">
      <c r="A110">
        <f>ROW(Source!A203)</f>
        <v>203</v>
      </c>
      <c r="B110">
        <v>39201625</v>
      </c>
      <c r="C110">
        <v>39202601</v>
      </c>
      <c r="D110">
        <v>24233608</v>
      </c>
      <c r="E110">
        <v>1</v>
      </c>
      <c r="F110">
        <v>1</v>
      </c>
      <c r="G110">
        <v>1</v>
      </c>
      <c r="H110">
        <v>1</v>
      </c>
      <c r="I110" t="s">
        <v>419</v>
      </c>
      <c r="J110" t="s">
        <v>3</v>
      </c>
      <c r="K110" t="s">
        <v>420</v>
      </c>
      <c r="L110">
        <v>1476</v>
      </c>
      <c r="N110">
        <v>1013</v>
      </c>
      <c r="O110" t="s">
        <v>380</v>
      </c>
      <c r="P110" t="s">
        <v>381</v>
      </c>
      <c r="Q110">
        <v>1</v>
      </c>
      <c r="W110">
        <v>0</v>
      </c>
      <c r="X110">
        <v>1809359306</v>
      </c>
      <c r="Y110">
        <v>206.99999999999997</v>
      </c>
      <c r="AA110">
        <v>0</v>
      </c>
      <c r="AB110">
        <v>0</v>
      </c>
      <c r="AC110">
        <v>0</v>
      </c>
      <c r="AD110">
        <v>6.35</v>
      </c>
      <c r="AE110">
        <v>0</v>
      </c>
      <c r="AF110">
        <v>0</v>
      </c>
      <c r="AG110">
        <v>0</v>
      </c>
      <c r="AH110">
        <v>6.35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180</v>
      </c>
      <c r="AU110" t="s">
        <v>13</v>
      </c>
      <c r="AV110">
        <v>1</v>
      </c>
      <c r="AW110">
        <v>2</v>
      </c>
      <c r="AX110">
        <v>39202610</v>
      </c>
      <c r="AY110">
        <v>1</v>
      </c>
      <c r="AZ110">
        <v>0</v>
      </c>
      <c r="BA110">
        <v>109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Y110*Source!I203</f>
        <v>0.12419999999999998</v>
      </c>
      <c r="CY110">
        <f>AD110</f>
        <v>6.35</v>
      </c>
      <c r="CZ110">
        <f>AH110</f>
        <v>6.35</v>
      </c>
      <c r="DA110">
        <f>AL110</f>
        <v>1</v>
      </c>
      <c r="DB110">
        <f>ROUND((ROUND(AT110*CZ110,2)*1.15),2)</f>
        <v>1314.45</v>
      </c>
      <c r="DC110">
        <f>ROUND((ROUND(AT110*AG110,2)*1.15),2)</f>
        <v>0</v>
      </c>
    </row>
    <row r="111" spans="1:107" x14ac:dyDescent="0.2">
      <c r="A111">
        <f>ROW(Source!A203)</f>
        <v>203</v>
      </c>
      <c r="B111">
        <v>39201625</v>
      </c>
      <c r="C111">
        <v>39202601</v>
      </c>
      <c r="D111">
        <v>121548</v>
      </c>
      <c r="E111">
        <v>1</v>
      </c>
      <c r="F111">
        <v>1</v>
      </c>
      <c r="G111">
        <v>1</v>
      </c>
      <c r="H111">
        <v>1</v>
      </c>
      <c r="I111" t="s">
        <v>26</v>
      </c>
      <c r="J111" t="s">
        <v>3</v>
      </c>
      <c r="K111" t="s">
        <v>382</v>
      </c>
      <c r="L111">
        <v>608254</v>
      </c>
      <c r="N111">
        <v>1013</v>
      </c>
      <c r="O111" t="s">
        <v>383</v>
      </c>
      <c r="P111" t="s">
        <v>383</v>
      </c>
      <c r="Q111">
        <v>1</v>
      </c>
      <c r="W111">
        <v>0</v>
      </c>
      <c r="X111">
        <v>-185737400</v>
      </c>
      <c r="Y111">
        <v>22.5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18</v>
      </c>
      <c r="AU111" t="s">
        <v>12</v>
      </c>
      <c r="AV111">
        <v>2</v>
      </c>
      <c r="AW111">
        <v>2</v>
      </c>
      <c r="AX111">
        <v>39202611</v>
      </c>
      <c r="AY111">
        <v>1</v>
      </c>
      <c r="AZ111">
        <v>0</v>
      </c>
      <c r="BA111">
        <v>110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Y111*Source!I203</f>
        <v>1.3499999999999998E-2</v>
      </c>
      <c r="CY111">
        <f>AD111</f>
        <v>0</v>
      </c>
      <c r="CZ111">
        <f>AH111</f>
        <v>0</v>
      </c>
      <c r="DA111">
        <f>AL111</f>
        <v>1</v>
      </c>
      <c r="DB111">
        <f>ROUND((ROUND(AT111*CZ111,2)*1.25),2)</f>
        <v>0</v>
      </c>
      <c r="DC111">
        <f>ROUND((ROUND(AT111*AG111,2)*1.25),2)</f>
        <v>0</v>
      </c>
    </row>
    <row r="112" spans="1:107" x14ac:dyDescent="0.2">
      <c r="A112">
        <f>ROW(Source!A203)</f>
        <v>203</v>
      </c>
      <c r="B112">
        <v>39201625</v>
      </c>
      <c r="C112">
        <v>39202601</v>
      </c>
      <c r="D112">
        <v>26553729</v>
      </c>
      <c r="E112">
        <v>1</v>
      </c>
      <c r="F112">
        <v>1</v>
      </c>
      <c r="G112">
        <v>1</v>
      </c>
      <c r="H112">
        <v>2</v>
      </c>
      <c r="I112" t="s">
        <v>493</v>
      </c>
      <c r="J112" t="s">
        <v>494</v>
      </c>
      <c r="K112" t="s">
        <v>495</v>
      </c>
      <c r="L112">
        <v>26553684</v>
      </c>
      <c r="N112">
        <v>1013</v>
      </c>
      <c r="O112" t="s">
        <v>387</v>
      </c>
      <c r="P112" t="s">
        <v>387</v>
      </c>
      <c r="Q112">
        <v>1</v>
      </c>
      <c r="W112">
        <v>0</v>
      </c>
      <c r="X112">
        <v>1269786461</v>
      </c>
      <c r="Y112">
        <v>22.5</v>
      </c>
      <c r="AA112">
        <v>0</v>
      </c>
      <c r="AB112">
        <v>86.16</v>
      </c>
      <c r="AC112">
        <v>13.26</v>
      </c>
      <c r="AD112">
        <v>0</v>
      </c>
      <c r="AE112">
        <v>0</v>
      </c>
      <c r="AF112">
        <v>86.16</v>
      </c>
      <c r="AG112">
        <v>13.26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18</v>
      </c>
      <c r="AU112" t="s">
        <v>12</v>
      </c>
      <c r="AV112">
        <v>0</v>
      </c>
      <c r="AW112">
        <v>2</v>
      </c>
      <c r="AX112">
        <v>39202612</v>
      </c>
      <c r="AY112">
        <v>1</v>
      </c>
      <c r="AZ112">
        <v>0</v>
      </c>
      <c r="BA112">
        <v>111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Y112*Source!I203</f>
        <v>1.3499999999999998E-2</v>
      </c>
      <c r="CY112">
        <f>AB112</f>
        <v>86.16</v>
      </c>
      <c r="CZ112">
        <f>AF112</f>
        <v>86.16</v>
      </c>
      <c r="DA112">
        <f>AJ112</f>
        <v>1</v>
      </c>
      <c r="DB112">
        <f>ROUND((ROUND(AT112*CZ112,2)*1.25),2)</f>
        <v>1938.6</v>
      </c>
      <c r="DC112">
        <f>ROUND((ROUND(AT112*AG112,2)*1.25),2)</f>
        <v>298.35000000000002</v>
      </c>
    </row>
    <row r="113" spans="1:107" x14ac:dyDescent="0.2">
      <c r="A113">
        <f>ROW(Source!A203)</f>
        <v>203</v>
      </c>
      <c r="B113">
        <v>39201625</v>
      </c>
      <c r="C113">
        <v>39202601</v>
      </c>
      <c r="D113">
        <v>26554373</v>
      </c>
      <c r="E113">
        <v>1</v>
      </c>
      <c r="F113">
        <v>1</v>
      </c>
      <c r="G113">
        <v>1</v>
      </c>
      <c r="H113">
        <v>2</v>
      </c>
      <c r="I113" t="s">
        <v>496</v>
      </c>
      <c r="J113" t="s">
        <v>497</v>
      </c>
      <c r="K113" t="s">
        <v>498</v>
      </c>
      <c r="L113">
        <v>26553684</v>
      </c>
      <c r="N113">
        <v>1013</v>
      </c>
      <c r="O113" t="s">
        <v>387</v>
      </c>
      <c r="P113" t="s">
        <v>387</v>
      </c>
      <c r="Q113">
        <v>1</v>
      </c>
      <c r="W113">
        <v>0</v>
      </c>
      <c r="X113">
        <v>-1031605069</v>
      </c>
      <c r="Y113">
        <v>60</v>
      </c>
      <c r="AA113">
        <v>0</v>
      </c>
      <c r="AB113">
        <v>0.5</v>
      </c>
      <c r="AC113">
        <v>0</v>
      </c>
      <c r="AD113">
        <v>0</v>
      </c>
      <c r="AE113">
        <v>0</v>
      </c>
      <c r="AF113">
        <v>0.5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48</v>
      </c>
      <c r="AU113" t="s">
        <v>12</v>
      </c>
      <c r="AV113">
        <v>0</v>
      </c>
      <c r="AW113">
        <v>2</v>
      </c>
      <c r="AX113">
        <v>39202613</v>
      </c>
      <c r="AY113">
        <v>1</v>
      </c>
      <c r="AZ113">
        <v>0</v>
      </c>
      <c r="BA113">
        <v>112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Y113*Source!I203</f>
        <v>3.5999999999999997E-2</v>
      </c>
      <c r="CY113">
        <f>AB113</f>
        <v>0.5</v>
      </c>
      <c r="CZ113">
        <f>AF113</f>
        <v>0.5</v>
      </c>
      <c r="DA113">
        <f>AJ113</f>
        <v>1</v>
      </c>
      <c r="DB113">
        <f>ROUND((ROUND(AT113*CZ113,2)*1.25),2)</f>
        <v>30</v>
      </c>
      <c r="DC113">
        <f>ROUND((ROUND(AT113*AG113,2)*1.25),2)</f>
        <v>0</v>
      </c>
    </row>
    <row r="114" spans="1:107" x14ac:dyDescent="0.2">
      <c r="A114">
        <f>ROW(Source!A203)</f>
        <v>203</v>
      </c>
      <c r="B114">
        <v>39201625</v>
      </c>
      <c r="C114">
        <v>39202601</v>
      </c>
      <c r="D114">
        <v>26555822</v>
      </c>
      <c r="E114">
        <v>1</v>
      </c>
      <c r="F114">
        <v>1</v>
      </c>
      <c r="G114">
        <v>1</v>
      </c>
      <c r="H114">
        <v>2</v>
      </c>
      <c r="I114" t="s">
        <v>461</v>
      </c>
      <c r="J114" t="s">
        <v>462</v>
      </c>
      <c r="K114" t="s">
        <v>463</v>
      </c>
      <c r="L114">
        <v>26553684</v>
      </c>
      <c r="N114">
        <v>1013</v>
      </c>
      <c r="O114" t="s">
        <v>387</v>
      </c>
      <c r="P114" t="s">
        <v>387</v>
      </c>
      <c r="Q114">
        <v>1</v>
      </c>
      <c r="W114">
        <v>0</v>
      </c>
      <c r="X114">
        <v>210745813</v>
      </c>
      <c r="Y114">
        <v>0.16250000000000001</v>
      </c>
      <c r="AA114">
        <v>0</v>
      </c>
      <c r="AB114">
        <v>86.55</v>
      </c>
      <c r="AC114">
        <v>0</v>
      </c>
      <c r="AD114">
        <v>0</v>
      </c>
      <c r="AE114">
        <v>0</v>
      </c>
      <c r="AF114">
        <v>86.55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0.13</v>
      </c>
      <c r="AU114" t="s">
        <v>12</v>
      </c>
      <c r="AV114">
        <v>0</v>
      </c>
      <c r="AW114">
        <v>2</v>
      </c>
      <c r="AX114">
        <v>39202614</v>
      </c>
      <c r="AY114">
        <v>1</v>
      </c>
      <c r="AZ114">
        <v>0</v>
      </c>
      <c r="BA114">
        <v>113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Y114*Source!I203</f>
        <v>9.7499999999999998E-5</v>
      </c>
      <c r="CY114">
        <f>AB114</f>
        <v>86.55</v>
      </c>
      <c r="CZ114">
        <f>AF114</f>
        <v>86.55</v>
      </c>
      <c r="DA114">
        <f>AJ114</f>
        <v>1</v>
      </c>
      <c r="DB114">
        <f>ROUND((ROUND(AT114*CZ114,2)*1.25),2)</f>
        <v>14.06</v>
      </c>
      <c r="DC114">
        <f>ROUND((ROUND(AT114*AG114,2)*1.25),2)</f>
        <v>0</v>
      </c>
    </row>
    <row r="115" spans="1:107" x14ac:dyDescent="0.2">
      <c r="A115">
        <f>ROW(Source!A203)</f>
        <v>203</v>
      </c>
      <c r="B115">
        <v>39201625</v>
      </c>
      <c r="C115">
        <v>39202601</v>
      </c>
      <c r="D115">
        <v>26558648</v>
      </c>
      <c r="E115">
        <v>1</v>
      </c>
      <c r="F115">
        <v>1</v>
      </c>
      <c r="G115">
        <v>1</v>
      </c>
      <c r="H115">
        <v>3</v>
      </c>
      <c r="I115" t="s">
        <v>499</v>
      </c>
      <c r="J115" t="s">
        <v>500</v>
      </c>
      <c r="K115" t="s">
        <v>501</v>
      </c>
      <c r="L115">
        <v>1327</v>
      </c>
      <c r="N115">
        <v>1005</v>
      </c>
      <c r="O115" t="s">
        <v>502</v>
      </c>
      <c r="P115" t="s">
        <v>502</v>
      </c>
      <c r="Q115">
        <v>1</v>
      </c>
      <c r="W115">
        <v>0</v>
      </c>
      <c r="X115">
        <v>844764035</v>
      </c>
      <c r="Y115">
        <v>250</v>
      </c>
      <c r="AA115">
        <v>9.1999999999999993</v>
      </c>
      <c r="AB115">
        <v>0</v>
      </c>
      <c r="AC115">
        <v>0</v>
      </c>
      <c r="AD115">
        <v>0</v>
      </c>
      <c r="AE115">
        <v>9.1999999999999993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250</v>
      </c>
      <c r="AU115" t="s">
        <v>3</v>
      </c>
      <c r="AV115">
        <v>0</v>
      </c>
      <c r="AW115">
        <v>2</v>
      </c>
      <c r="AX115">
        <v>39202615</v>
      </c>
      <c r="AY115">
        <v>1</v>
      </c>
      <c r="AZ115">
        <v>0</v>
      </c>
      <c r="BA115">
        <v>114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Y115*Source!I203</f>
        <v>0.15</v>
      </c>
      <c r="CY115">
        <f>AA115</f>
        <v>9.1999999999999993</v>
      </c>
      <c r="CZ115">
        <f>AE115</f>
        <v>9.1999999999999993</v>
      </c>
      <c r="DA115">
        <f>AI115</f>
        <v>1</v>
      </c>
      <c r="DB115">
        <f>ROUND(ROUND(AT115*CZ115,2),2)</f>
        <v>2300</v>
      </c>
      <c r="DC115">
        <f>ROUND(ROUND(AT115*AG115,2),2)</f>
        <v>0</v>
      </c>
    </row>
    <row r="116" spans="1:107" x14ac:dyDescent="0.2">
      <c r="A116">
        <f>ROW(Source!A203)</f>
        <v>203</v>
      </c>
      <c r="B116">
        <v>39201625</v>
      </c>
      <c r="C116">
        <v>39202601</v>
      </c>
      <c r="D116">
        <v>26597230</v>
      </c>
      <c r="E116">
        <v>1</v>
      </c>
      <c r="F116">
        <v>1</v>
      </c>
      <c r="G116">
        <v>1</v>
      </c>
      <c r="H116">
        <v>3</v>
      </c>
      <c r="I116" t="s">
        <v>503</v>
      </c>
      <c r="J116" t="s">
        <v>504</v>
      </c>
      <c r="K116" t="s">
        <v>505</v>
      </c>
      <c r="L116">
        <v>1339</v>
      </c>
      <c r="N116">
        <v>1007</v>
      </c>
      <c r="O116" t="s">
        <v>130</v>
      </c>
      <c r="P116" t="s">
        <v>130</v>
      </c>
      <c r="Q116">
        <v>1</v>
      </c>
      <c r="W116">
        <v>0</v>
      </c>
      <c r="X116">
        <v>243033570</v>
      </c>
      <c r="Y116">
        <v>102</v>
      </c>
      <c r="AA116">
        <v>481.52</v>
      </c>
      <c r="AB116">
        <v>0</v>
      </c>
      <c r="AC116">
        <v>0</v>
      </c>
      <c r="AD116">
        <v>0</v>
      </c>
      <c r="AE116">
        <v>481.52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102</v>
      </c>
      <c r="AU116" t="s">
        <v>3</v>
      </c>
      <c r="AV116">
        <v>0</v>
      </c>
      <c r="AW116">
        <v>2</v>
      </c>
      <c r="AX116">
        <v>39202616</v>
      </c>
      <c r="AY116">
        <v>1</v>
      </c>
      <c r="AZ116">
        <v>0</v>
      </c>
      <c r="BA116">
        <v>115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Y116*Source!I203</f>
        <v>6.1199999999999997E-2</v>
      </c>
      <c r="CY116">
        <f>AA116</f>
        <v>481.52</v>
      </c>
      <c r="CZ116">
        <f>AE116</f>
        <v>481.52</v>
      </c>
      <c r="DA116">
        <f>AI116</f>
        <v>1</v>
      </c>
      <c r="DB116">
        <f>ROUND(ROUND(AT116*CZ116,2),2)</f>
        <v>49115.040000000001</v>
      </c>
      <c r="DC116">
        <f>ROUND(ROUND(AT116*AG116,2),2)</f>
        <v>0</v>
      </c>
    </row>
    <row r="117" spans="1:107" x14ac:dyDescent="0.2">
      <c r="A117">
        <f>ROW(Source!A203)</f>
        <v>203</v>
      </c>
      <c r="B117">
        <v>39201625</v>
      </c>
      <c r="C117">
        <v>39202601</v>
      </c>
      <c r="D117">
        <v>26608102</v>
      </c>
      <c r="E117">
        <v>1</v>
      </c>
      <c r="F117">
        <v>1</v>
      </c>
      <c r="G117">
        <v>1</v>
      </c>
      <c r="H117">
        <v>3</v>
      </c>
      <c r="I117" t="s">
        <v>408</v>
      </c>
      <c r="J117" t="s">
        <v>409</v>
      </c>
      <c r="K117" t="s">
        <v>410</v>
      </c>
      <c r="L117">
        <v>1339</v>
      </c>
      <c r="N117">
        <v>1007</v>
      </c>
      <c r="O117" t="s">
        <v>130</v>
      </c>
      <c r="P117" t="s">
        <v>130</v>
      </c>
      <c r="Q117">
        <v>1</v>
      </c>
      <c r="W117">
        <v>0</v>
      </c>
      <c r="X117">
        <v>-1025641989</v>
      </c>
      <c r="Y117">
        <v>0.2</v>
      </c>
      <c r="AA117">
        <v>2.2599999999999998</v>
      </c>
      <c r="AB117">
        <v>0</v>
      </c>
      <c r="AC117">
        <v>0</v>
      </c>
      <c r="AD117">
        <v>0</v>
      </c>
      <c r="AE117">
        <v>2.2599999999999998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0.2</v>
      </c>
      <c r="AU117" t="s">
        <v>3</v>
      </c>
      <c r="AV117">
        <v>0</v>
      </c>
      <c r="AW117">
        <v>2</v>
      </c>
      <c r="AX117">
        <v>39202617</v>
      </c>
      <c r="AY117">
        <v>1</v>
      </c>
      <c r="AZ117">
        <v>0</v>
      </c>
      <c r="BA117">
        <v>116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Y117*Source!I203</f>
        <v>1.1999999999999999E-4</v>
      </c>
      <c r="CY117">
        <f>AA117</f>
        <v>2.2599999999999998</v>
      </c>
      <c r="CZ117">
        <f>AE117</f>
        <v>2.2599999999999998</v>
      </c>
      <c r="DA117">
        <f>AI117</f>
        <v>1</v>
      </c>
      <c r="DB117">
        <f>ROUND(ROUND(AT117*CZ117,2),2)</f>
        <v>0.45</v>
      </c>
      <c r="DC117">
        <f>ROUND(ROUND(AT117*AG117,2),2)</f>
        <v>0</v>
      </c>
    </row>
    <row r="118" spans="1:107" x14ac:dyDescent="0.2">
      <c r="A118">
        <f>ROW(Source!A204)</f>
        <v>204</v>
      </c>
      <c r="B118">
        <v>39201625</v>
      </c>
      <c r="C118">
        <v>39202618</v>
      </c>
      <c r="D118">
        <v>24288154</v>
      </c>
      <c r="E118">
        <v>1</v>
      </c>
      <c r="F118">
        <v>1</v>
      </c>
      <c r="G118">
        <v>1</v>
      </c>
      <c r="H118">
        <v>1</v>
      </c>
      <c r="I118" t="s">
        <v>491</v>
      </c>
      <c r="J118" t="s">
        <v>3</v>
      </c>
      <c r="K118" t="s">
        <v>492</v>
      </c>
      <c r="L118">
        <v>1476</v>
      </c>
      <c r="N118">
        <v>1013</v>
      </c>
      <c r="O118" t="s">
        <v>380</v>
      </c>
      <c r="P118" t="s">
        <v>381</v>
      </c>
      <c r="Q118">
        <v>1</v>
      </c>
      <c r="W118">
        <v>0</v>
      </c>
      <c r="X118">
        <v>-1949506561</v>
      </c>
      <c r="Y118">
        <v>101.77499999999999</v>
      </c>
      <c r="AA118">
        <v>0</v>
      </c>
      <c r="AB118">
        <v>0</v>
      </c>
      <c r="AC118">
        <v>0</v>
      </c>
      <c r="AD118">
        <v>6.1</v>
      </c>
      <c r="AE118">
        <v>0</v>
      </c>
      <c r="AF118">
        <v>0</v>
      </c>
      <c r="AG118">
        <v>0</v>
      </c>
      <c r="AH118">
        <v>6.1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88.5</v>
      </c>
      <c r="AU118" t="s">
        <v>13</v>
      </c>
      <c r="AV118">
        <v>1</v>
      </c>
      <c r="AW118">
        <v>2</v>
      </c>
      <c r="AX118">
        <v>39202620</v>
      </c>
      <c r="AY118">
        <v>1</v>
      </c>
      <c r="AZ118">
        <v>0</v>
      </c>
      <c r="BA118">
        <v>117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Y118*Source!I204</f>
        <v>6.1064999999999987E-2</v>
      </c>
      <c r="CY118">
        <f>AD118</f>
        <v>6.1</v>
      </c>
      <c r="CZ118">
        <f>AH118</f>
        <v>6.1</v>
      </c>
      <c r="DA118">
        <f>AL118</f>
        <v>1</v>
      </c>
      <c r="DB118">
        <f>ROUND((ROUND(AT118*CZ118,2)*1.15),2)</f>
        <v>620.83000000000004</v>
      </c>
      <c r="DC118">
        <f>ROUND((ROUND(AT118*AG118,2)*1.15),2)</f>
        <v>0</v>
      </c>
    </row>
    <row r="119" spans="1:107" x14ac:dyDescent="0.2">
      <c r="A119">
        <f>ROW(Source!A240)</f>
        <v>240</v>
      </c>
      <c r="B119">
        <v>39201625</v>
      </c>
      <c r="C119">
        <v>39202621</v>
      </c>
      <c r="D119">
        <v>24233608</v>
      </c>
      <c r="E119">
        <v>1</v>
      </c>
      <c r="F119">
        <v>1</v>
      </c>
      <c r="G119">
        <v>1</v>
      </c>
      <c r="H119">
        <v>1</v>
      </c>
      <c r="I119" t="s">
        <v>419</v>
      </c>
      <c r="J119" t="s">
        <v>3</v>
      </c>
      <c r="K119" t="s">
        <v>420</v>
      </c>
      <c r="L119">
        <v>1476</v>
      </c>
      <c r="N119">
        <v>1013</v>
      </c>
      <c r="O119" t="s">
        <v>380</v>
      </c>
      <c r="P119" t="s">
        <v>381</v>
      </c>
      <c r="Q119">
        <v>1</v>
      </c>
      <c r="W119">
        <v>0</v>
      </c>
      <c r="X119">
        <v>1809359306</v>
      </c>
      <c r="Y119">
        <v>322</v>
      </c>
      <c r="AA119">
        <v>0</v>
      </c>
      <c r="AB119">
        <v>0</v>
      </c>
      <c r="AC119">
        <v>0</v>
      </c>
      <c r="AD119">
        <v>6.35</v>
      </c>
      <c r="AE119">
        <v>0</v>
      </c>
      <c r="AF119">
        <v>0</v>
      </c>
      <c r="AG119">
        <v>0</v>
      </c>
      <c r="AH119">
        <v>6.35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280</v>
      </c>
      <c r="AU119" t="s">
        <v>13</v>
      </c>
      <c r="AV119">
        <v>1</v>
      </c>
      <c r="AW119">
        <v>2</v>
      </c>
      <c r="AX119">
        <v>39202623</v>
      </c>
      <c r="AY119">
        <v>1</v>
      </c>
      <c r="AZ119">
        <v>0</v>
      </c>
      <c r="BA119">
        <v>118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Y119*Source!I240</f>
        <v>0.38639999999999997</v>
      </c>
      <c r="CY119">
        <f>AD119</f>
        <v>6.35</v>
      </c>
      <c r="CZ119">
        <f>AH119</f>
        <v>6.35</v>
      </c>
      <c r="DA119">
        <f>AL119</f>
        <v>1</v>
      </c>
      <c r="DB119">
        <f>ROUND((ROUND(AT119*CZ119,2)*1.15),2)</f>
        <v>2044.7</v>
      </c>
      <c r="DC119">
        <f>ROUND((ROUND(AT119*AG119,2)*1.15),2)</f>
        <v>0</v>
      </c>
    </row>
    <row r="120" spans="1:107" x14ac:dyDescent="0.2">
      <c r="A120">
        <f>ROW(Source!A242)</f>
        <v>242</v>
      </c>
      <c r="B120">
        <v>39201625</v>
      </c>
      <c r="C120">
        <v>39202625</v>
      </c>
      <c r="D120">
        <v>24233608</v>
      </c>
      <c r="E120">
        <v>1</v>
      </c>
      <c r="F120">
        <v>1</v>
      </c>
      <c r="G120">
        <v>1</v>
      </c>
      <c r="H120">
        <v>1</v>
      </c>
      <c r="I120" t="s">
        <v>419</v>
      </c>
      <c r="J120" t="s">
        <v>3</v>
      </c>
      <c r="K120" t="s">
        <v>420</v>
      </c>
      <c r="L120">
        <v>1476</v>
      </c>
      <c r="N120">
        <v>1013</v>
      </c>
      <c r="O120" t="s">
        <v>380</v>
      </c>
      <c r="P120" t="s">
        <v>381</v>
      </c>
      <c r="Q120">
        <v>1</v>
      </c>
      <c r="W120">
        <v>0</v>
      </c>
      <c r="X120">
        <v>1809359306</v>
      </c>
      <c r="Y120">
        <v>206.99999999999997</v>
      </c>
      <c r="AA120">
        <v>0</v>
      </c>
      <c r="AB120">
        <v>0</v>
      </c>
      <c r="AC120">
        <v>0</v>
      </c>
      <c r="AD120">
        <v>6.35</v>
      </c>
      <c r="AE120">
        <v>0</v>
      </c>
      <c r="AF120">
        <v>0</v>
      </c>
      <c r="AG120">
        <v>0</v>
      </c>
      <c r="AH120">
        <v>6.35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180</v>
      </c>
      <c r="AU120" t="s">
        <v>13</v>
      </c>
      <c r="AV120">
        <v>1</v>
      </c>
      <c r="AW120">
        <v>2</v>
      </c>
      <c r="AX120">
        <v>39202634</v>
      </c>
      <c r="AY120">
        <v>1</v>
      </c>
      <c r="AZ120">
        <v>0</v>
      </c>
      <c r="BA120">
        <v>119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Y120*Source!I242</f>
        <v>0.12419999999999998</v>
      </c>
      <c r="CY120">
        <f>AD120</f>
        <v>6.35</v>
      </c>
      <c r="CZ120">
        <f>AH120</f>
        <v>6.35</v>
      </c>
      <c r="DA120">
        <f>AL120</f>
        <v>1</v>
      </c>
      <c r="DB120">
        <f>ROUND((ROUND(AT120*CZ120,2)*1.15),2)</f>
        <v>1314.45</v>
      </c>
      <c r="DC120">
        <f>ROUND((ROUND(AT120*AG120,2)*1.15),2)</f>
        <v>0</v>
      </c>
    </row>
    <row r="121" spans="1:107" x14ac:dyDescent="0.2">
      <c r="A121">
        <f>ROW(Source!A242)</f>
        <v>242</v>
      </c>
      <c r="B121">
        <v>39201625</v>
      </c>
      <c r="C121">
        <v>39202625</v>
      </c>
      <c r="D121">
        <v>121548</v>
      </c>
      <c r="E121">
        <v>1</v>
      </c>
      <c r="F121">
        <v>1</v>
      </c>
      <c r="G121">
        <v>1</v>
      </c>
      <c r="H121">
        <v>1</v>
      </c>
      <c r="I121" t="s">
        <v>26</v>
      </c>
      <c r="J121" t="s">
        <v>3</v>
      </c>
      <c r="K121" t="s">
        <v>382</v>
      </c>
      <c r="L121">
        <v>608254</v>
      </c>
      <c r="N121">
        <v>1013</v>
      </c>
      <c r="O121" t="s">
        <v>383</v>
      </c>
      <c r="P121" t="s">
        <v>383</v>
      </c>
      <c r="Q121">
        <v>1</v>
      </c>
      <c r="W121">
        <v>0</v>
      </c>
      <c r="X121">
        <v>-185737400</v>
      </c>
      <c r="Y121">
        <v>22.5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18</v>
      </c>
      <c r="AU121" t="s">
        <v>12</v>
      </c>
      <c r="AV121">
        <v>2</v>
      </c>
      <c r="AW121">
        <v>2</v>
      </c>
      <c r="AX121">
        <v>39202635</v>
      </c>
      <c r="AY121">
        <v>1</v>
      </c>
      <c r="AZ121">
        <v>0</v>
      </c>
      <c r="BA121">
        <v>120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Y121*Source!I242</f>
        <v>1.3499999999999998E-2</v>
      </c>
      <c r="CY121">
        <f>AD121</f>
        <v>0</v>
      </c>
      <c r="CZ121">
        <f>AH121</f>
        <v>0</v>
      </c>
      <c r="DA121">
        <f>AL121</f>
        <v>1</v>
      </c>
      <c r="DB121">
        <f>ROUND((ROUND(AT121*CZ121,2)*1.25),2)</f>
        <v>0</v>
      </c>
      <c r="DC121">
        <f>ROUND((ROUND(AT121*AG121,2)*1.25),2)</f>
        <v>0</v>
      </c>
    </row>
    <row r="122" spans="1:107" x14ac:dyDescent="0.2">
      <c r="A122">
        <f>ROW(Source!A242)</f>
        <v>242</v>
      </c>
      <c r="B122">
        <v>39201625</v>
      </c>
      <c r="C122">
        <v>39202625</v>
      </c>
      <c r="D122">
        <v>26553729</v>
      </c>
      <c r="E122">
        <v>1</v>
      </c>
      <c r="F122">
        <v>1</v>
      </c>
      <c r="G122">
        <v>1</v>
      </c>
      <c r="H122">
        <v>2</v>
      </c>
      <c r="I122" t="s">
        <v>493</v>
      </c>
      <c r="J122" t="s">
        <v>494</v>
      </c>
      <c r="K122" t="s">
        <v>495</v>
      </c>
      <c r="L122">
        <v>26553684</v>
      </c>
      <c r="N122">
        <v>1013</v>
      </c>
      <c r="O122" t="s">
        <v>387</v>
      </c>
      <c r="P122" t="s">
        <v>387</v>
      </c>
      <c r="Q122">
        <v>1</v>
      </c>
      <c r="W122">
        <v>0</v>
      </c>
      <c r="X122">
        <v>1269786461</v>
      </c>
      <c r="Y122">
        <v>22.5</v>
      </c>
      <c r="AA122">
        <v>0</v>
      </c>
      <c r="AB122">
        <v>86.16</v>
      </c>
      <c r="AC122">
        <v>13.26</v>
      </c>
      <c r="AD122">
        <v>0</v>
      </c>
      <c r="AE122">
        <v>0</v>
      </c>
      <c r="AF122">
        <v>86.16</v>
      </c>
      <c r="AG122">
        <v>13.26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18</v>
      </c>
      <c r="AU122" t="s">
        <v>12</v>
      </c>
      <c r="AV122">
        <v>0</v>
      </c>
      <c r="AW122">
        <v>2</v>
      </c>
      <c r="AX122">
        <v>39202636</v>
      </c>
      <c r="AY122">
        <v>1</v>
      </c>
      <c r="AZ122">
        <v>0</v>
      </c>
      <c r="BA122">
        <v>121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Y122*Source!I242</f>
        <v>1.3499999999999998E-2</v>
      </c>
      <c r="CY122">
        <f>AB122</f>
        <v>86.16</v>
      </c>
      <c r="CZ122">
        <f>AF122</f>
        <v>86.16</v>
      </c>
      <c r="DA122">
        <f>AJ122</f>
        <v>1</v>
      </c>
      <c r="DB122">
        <f>ROUND((ROUND(AT122*CZ122,2)*1.25),2)</f>
        <v>1938.6</v>
      </c>
      <c r="DC122">
        <f>ROUND((ROUND(AT122*AG122,2)*1.25),2)</f>
        <v>298.35000000000002</v>
      </c>
    </row>
    <row r="123" spans="1:107" x14ac:dyDescent="0.2">
      <c r="A123">
        <f>ROW(Source!A242)</f>
        <v>242</v>
      </c>
      <c r="B123">
        <v>39201625</v>
      </c>
      <c r="C123">
        <v>39202625</v>
      </c>
      <c r="D123">
        <v>26554373</v>
      </c>
      <c r="E123">
        <v>1</v>
      </c>
      <c r="F123">
        <v>1</v>
      </c>
      <c r="G123">
        <v>1</v>
      </c>
      <c r="H123">
        <v>2</v>
      </c>
      <c r="I123" t="s">
        <v>496</v>
      </c>
      <c r="J123" t="s">
        <v>497</v>
      </c>
      <c r="K123" t="s">
        <v>498</v>
      </c>
      <c r="L123">
        <v>26553684</v>
      </c>
      <c r="N123">
        <v>1013</v>
      </c>
      <c r="O123" t="s">
        <v>387</v>
      </c>
      <c r="P123" t="s">
        <v>387</v>
      </c>
      <c r="Q123">
        <v>1</v>
      </c>
      <c r="W123">
        <v>0</v>
      </c>
      <c r="X123">
        <v>-1031605069</v>
      </c>
      <c r="Y123">
        <v>60</v>
      </c>
      <c r="AA123">
        <v>0</v>
      </c>
      <c r="AB123">
        <v>0.5</v>
      </c>
      <c r="AC123">
        <v>0</v>
      </c>
      <c r="AD123">
        <v>0</v>
      </c>
      <c r="AE123">
        <v>0</v>
      </c>
      <c r="AF123">
        <v>0.5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48</v>
      </c>
      <c r="AU123" t="s">
        <v>12</v>
      </c>
      <c r="AV123">
        <v>0</v>
      </c>
      <c r="AW123">
        <v>2</v>
      </c>
      <c r="AX123">
        <v>39202637</v>
      </c>
      <c r="AY123">
        <v>1</v>
      </c>
      <c r="AZ123">
        <v>0</v>
      </c>
      <c r="BA123">
        <v>122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Y123*Source!I242</f>
        <v>3.5999999999999997E-2</v>
      </c>
      <c r="CY123">
        <f>AB123</f>
        <v>0.5</v>
      </c>
      <c r="CZ123">
        <f>AF123</f>
        <v>0.5</v>
      </c>
      <c r="DA123">
        <f>AJ123</f>
        <v>1</v>
      </c>
      <c r="DB123">
        <f>ROUND((ROUND(AT123*CZ123,2)*1.25),2)</f>
        <v>30</v>
      </c>
      <c r="DC123">
        <f>ROUND((ROUND(AT123*AG123,2)*1.25),2)</f>
        <v>0</v>
      </c>
    </row>
    <row r="124" spans="1:107" x14ac:dyDescent="0.2">
      <c r="A124">
        <f>ROW(Source!A242)</f>
        <v>242</v>
      </c>
      <c r="B124">
        <v>39201625</v>
      </c>
      <c r="C124">
        <v>39202625</v>
      </c>
      <c r="D124">
        <v>26555822</v>
      </c>
      <c r="E124">
        <v>1</v>
      </c>
      <c r="F124">
        <v>1</v>
      </c>
      <c r="G124">
        <v>1</v>
      </c>
      <c r="H124">
        <v>2</v>
      </c>
      <c r="I124" t="s">
        <v>461</v>
      </c>
      <c r="J124" t="s">
        <v>462</v>
      </c>
      <c r="K124" t="s">
        <v>463</v>
      </c>
      <c r="L124">
        <v>26553684</v>
      </c>
      <c r="N124">
        <v>1013</v>
      </c>
      <c r="O124" t="s">
        <v>387</v>
      </c>
      <c r="P124" t="s">
        <v>387</v>
      </c>
      <c r="Q124">
        <v>1</v>
      </c>
      <c r="W124">
        <v>0</v>
      </c>
      <c r="X124">
        <v>210745813</v>
      </c>
      <c r="Y124">
        <v>0.16250000000000001</v>
      </c>
      <c r="AA124">
        <v>0</v>
      </c>
      <c r="AB124">
        <v>86.55</v>
      </c>
      <c r="AC124">
        <v>0</v>
      </c>
      <c r="AD124">
        <v>0</v>
      </c>
      <c r="AE124">
        <v>0</v>
      </c>
      <c r="AF124">
        <v>86.55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0.13</v>
      </c>
      <c r="AU124" t="s">
        <v>12</v>
      </c>
      <c r="AV124">
        <v>0</v>
      </c>
      <c r="AW124">
        <v>2</v>
      </c>
      <c r="AX124">
        <v>39202638</v>
      </c>
      <c r="AY124">
        <v>1</v>
      </c>
      <c r="AZ124">
        <v>0</v>
      </c>
      <c r="BA124">
        <v>123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Y124*Source!I242</f>
        <v>9.7499999999999998E-5</v>
      </c>
      <c r="CY124">
        <f>AB124</f>
        <v>86.55</v>
      </c>
      <c r="CZ124">
        <f>AF124</f>
        <v>86.55</v>
      </c>
      <c r="DA124">
        <f>AJ124</f>
        <v>1</v>
      </c>
      <c r="DB124">
        <f>ROUND((ROUND(AT124*CZ124,2)*1.25),2)</f>
        <v>14.06</v>
      </c>
      <c r="DC124">
        <f>ROUND((ROUND(AT124*AG124,2)*1.25),2)</f>
        <v>0</v>
      </c>
    </row>
    <row r="125" spans="1:107" x14ac:dyDescent="0.2">
      <c r="A125">
        <f>ROW(Source!A242)</f>
        <v>242</v>
      </c>
      <c r="B125">
        <v>39201625</v>
      </c>
      <c r="C125">
        <v>39202625</v>
      </c>
      <c r="D125">
        <v>26558648</v>
      </c>
      <c r="E125">
        <v>1</v>
      </c>
      <c r="F125">
        <v>1</v>
      </c>
      <c r="G125">
        <v>1</v>
      </c>
      <c r="H125">
        <v>3</v>
      </c>
      <c r="I125" t="s">
        <v>499</v>
      </c>
      <c r="J125" t="s">
        <v>500</v>
      </c>
      <c r="K125" t="s">
        <v>501</v>
      </c>
      <c r="L125">
        <v>1327</v>
      </c>
      <c r="N125">
        <v>1005</v>
      </c>
      <c r="O125" t="s">
        <v>502</v>
      </c>
      <c r="P125" t="s">
        <v>502</v>
      </c>
      <c r="Q125">
        <v>1</v>
      </c>
      <c r="W125">
        <v>0</v>
      </c>
      <c r="X125">
        <v>844764035</v>
      </c>
      <c r="Y125">
        <v>250</v>
      </c>
      <c r="AA125">
        <v>9.1999999999999993</v>
      </c>
      <c r="AB125">
        <v>0</v>
      </c>
      <c r="AC125">
        <v>0</v>
      </c>
      <c r="AD125">
        <v>0</v>
      </c>
      <c r="AE125">
        <v>9.1999999999999993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250</v>
      </c>
      <c r="AU125" t="s">
        <v>3</v>
      </c>
      <c r="AV125">
        <v>0</v>
      </c>
      <c r="AW125">
        <v>2</v>
      </c>
      <c r="AX125">
        <v>39202639</v>
      </c>
      <c r="AY125">
        <v>1</v>
      </c>
      <c r="AZ125">
        <v>0</v>
      </c>
      <c r="BA125">
        <v>124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Y125*Source!I242</f>
        <v>0.15</v>
      </c>
      <c r="CY125">
        <f>AA125</f>
        <v>9.1999999999999993</v>
      </c>
      <c r="CZ125">
        <f>AE125</f>
        <v>9.1999999999999993</v>
      </c>
      <c r="DA125">
        <f>AI125</f>
        <v>1</v>
      </c>
      <c r="DB125">
        <f>ROUND(ROUND(AT125*CZ125,2),2)</f>
        <v>2300</v>
      </c>
      <c r="DC125">
        <f>ROUND(ROUND(AT125*AG125,2),2)</f>
        <v>0</v>
      </c>
    </row>
    <row r="126" spans="1:107" x14ac:dyDescent="0.2">
      <c r="A126">
        <f>ROW(Source!A242)</f>
        <v>242</v>
      </c>
      <c r="B126">
        <v>39201625</v>
      </c>
      <c r="C126">
        <v>39202625</v>
      </c>
      <c r="D126">
        <v>26597230</v>
      </c>
      <c r="E126">
        <v>1</v>
      </c>
      <c r="F126">
        <v>1</v>
      </c>
      <c r="G126">
        <v>1</v>
      </c>
      <c r="H126">
        <v>3</v>
      </c>
      <c r="I126" t="s">
        <v>503</v>
      </c>
      <c r="J126" t="s">
        <v>504</v>
      </c>
      <c r="K126" t="s">
        <v>505</v>
      </c>
      <c r="L126">
        <v>1339</v>
      </c>
      <c r="N126">
        <v>1007</v>
      </c>
      <c r="O126" t="s">
        <v>130</v>
      </c>
      <c r="P126" t="s">
        <v>130</v>
      </c>
      <c r="Q126">
        <v>1</v>
      </c>
      <c r="W126">
        <v>0</v>
      </c>
      <c r="X126">
        <v>243033570</v>
      </c>
      <c r="Y126">
        <v>102</v>
      </c>
      <c r="AA126">
        <v>481.52</v>
      </c>
      <c r="AB126">
        <v>0</v>
      </c>
      <c r="AC126">
        <v>0</v>
      </c>
      <c r="AD126">
        <v>0</v>
      </c>
      <c r="AE126">
        <v>481.52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102</v>
      </c>
      <c r="AU126" t="s">
        <v>3</v>
      </c>
      <c r="AV126">
        <v>0</v>
      </c>
      <c r="AW126">
        <v>2</v>
      </c>
      <c r="AX126">
        <v>39202640</v>
      </c>
      <c r="AY126">
        <v>1</v>
      </c>
      <c r="AZ126">
        <v>0</v>
      </c>
      <c r="BA126">
        <v>125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Y126*Source!I242</f>
        <v>6.1199999999999997E-2</v>
      </c>
      <c r="CY126">
        <f>AA126</f>
        <v>481.52</v>
      </c>
      <c r="CZ126">
        <f>AE126</f>
        <v>481.52</v>
      </c>
      <c r="DA126">
        <f>AI126</f>
        <v>1</v>
      </c>
      <c r="DB126">
        <f>ROUND(ROUND(AT126*CZ126,2),2)</f>
        <v>49115.040000000001</v>
      </c>
      <c r="DC126">
        <f>ROUND(ROUND(AT126*AG126,2),2)</f>
        <v>0</v>
      </c>
    </row>
    <row r="127" spans="1:107" x14ac:dyDescent="0.2">
      <c r="A127">
        <f>ROW(Source!A242)</f>
        <v>242</v>
      </c>
      <c r="B127">
        <v>39201625</v>
      </c>
      <c r="C127">
        <v>39202625</v>
      </c>
      <c r="D127">
        <v>26608102</v>
      </c>
      <c r="E127">
        <v>1</v>
      </c>
      <c r="F127">
        <v>1</v>
      </c>
      <c r="G127">
        <v>1</v>
      </c>
      <c r="H127">
        <v>3</v>
      </c>
      <c r="I127" t="s">
        <v>408</v>
      </c>
      <c r="J127" t="s">
        <v>409</v>
      </c>
      <c r="K127" t="s">
        <v>410</v>
      </c>
      <c r="L127">
        <v>1339</v>
      </c>
      <c r="N127">
        <v>1007</v>
      </c>
      <c r="O127" t="s">
        <v>130</v>
      </c>
      <c r="P127" t="s">
        <v>130</v>
      </c>
      <c r="Q127">
        <v>1</v>
      </c>
      <c r="W127">
        <v>0</v>
      </c>
      <c r="X127">
        <v>-1025641989</v>
      </c>
      <c r="Y127">
        <v>0.2</v>
      </c>
      <c r="AA127">
        <v>2.2599999999999998</v>
      </c>
      <c r="AB127">
        <v>0</v>
      </c>
      <c r="AC127">
        <v>0</v>
      </c>
      <c r="AD127">
        <v>0</v>
      </c>
      <c r="AE127">
        <v>2.2599999999999998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0.2</v>
      </c>
      <c r="AU127" t="s">
        <v>3</v>
      </c>
      <c r="AV127">
        <v>0</v>
      </c>
      <c r="AW127">
        <v>2</v>
      </c>
      <c r="AX127">
        <v>39202641</v>
      </c>
      <c r="AY127">
        <v>1</v>
      </c>
      <c r="AZ127">
        <v>0</v>
      </c>
      <c r="BA127">
        <v>126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Y127*Source!I242</f>
        <v>1.1999999999999999E-4</v>
      </c>
      <c r="CY127">
        <f>AA127</f>
        <v>2.2599999999999998</v>
      </c>
      <c r="CZ127">
        <f>AE127</f>
        <v>2.2599999999999998</v>
      </c>
      <c r="DA127">
        <f>AI127</f>
        <v>1</v>
      </c>
      <c r="DB127">
        <f>ROUND(ROUND(AT127*CZ127,2),2)</f>
        <v>0.45</v>
      </c>
      <c r="DC127">
        <f>ROUND(ROUND(AT127*AG127,2),2)</f>
        <v>0</v>
      </c>
    </row>
    <row r="128" spans="1:107" x14ac:dyDescent="0.2">
      <c r="A128">
        <f>ROW(Source!A243)</f>
        <v>243</v>
      </c>
      <c r="B128">
        <v>39201625</v>
      </c>
      <c r="C128">
        <v>39202642</v>
      </c>
      <c r="D128">
        <v>24288154</v>
      </c>
      <c r="E128">
        <v>1</v>
      </c>
      <c r="F128">
        <v>1</v>
      </c>
      <c r="G128">
        <v>1</v>
      </c>
      <c r="H128">
        <v>1</v>
      </c>
      <c r="I128" t="s">
        <v>491</v>
      </c>
      <c r="J128" t="s">
        <v>3</v>
      </c>
      <c r="K128" t="s">
        <v>492</v>
      </c>
      <c r="L128">
        <v>1476</v>
      </c>
      <c r="N128">
        <v>1013</v>
      </c>
      <c r="O128" t="s">
        <v>380</v>
      </c>
      <c r="P128" t="s">
        <v>381</v>
      </c>
      <c r="Q128">
        <v>1</v>
      </c>
      <c r="W128">
        <v>0</v>
      </c>
      <c r="X128">
        <v>-1949506561</v>
      </c>
      <c r="Y128">
        <v>101.77499999999999</v>
      </c>
      <c r="AA128">
        <v>0</v>
      </c>
      <c r="AB128">
        <v>0</v>
      </c>
      <c r="AC128">
        <v>0</v>
      </c>
      <c r="AD128">
        <v>6.1</v>
      </c>
      <c r="AE128">
        <v>0</v>
      </c>
      <c r="AF128">
        <v>0</v>
      </c>
      <c r="AG128">
        <v>0</v>
      </c>
      <c r="AH128">
        <v>6.1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88.5</v>
      </c>
      <c r="AU128" t="s">
        <v>13</v>
      </c>
      <c r="AV128">
        <v>1</v>
      </c>
      <c r="AW128">
        <v>2</v>
      </c>
      <c r="AX128">
        <v>39202644</v>
      </c>
      <c r="AY128">
        <v>1</v>
      </c>
      <c r="AZ128">
        <v>0</v>
      </c>
      <c r="BA128">
        <v>127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Y128*Source!I243</f>
        <v>6.1064999999999987E-2</v>
      </c>
      <c r="CY128">
        <f>AD128</f>
        <v>6.1</v>
      </c>
      <c r="CZ128">
        <f>AH128</f>
        <v>6.1</v>
      </c>
      <c r="DA128">
        <f>AL128</f>
        <v>1</v>
      </c>
      <c r="DB128">
        <f>ROUND((ROUND(AT128*CZ128,2)*1.15),2)</f>
        <v>620.83000000000004</v>
      </c>
      <c r="DC128">
        <f>ROUND((ROUND(AT128*AG128,2)*1.15),2)</f>
        <v>0</v>
      </c>
    </row>
    <row r="129" spans="1:107" x14ac:dyDescent="0.2">
      <c r="A129">
        <f>ROW(Source!A279)</f>
        <v>279</v>
      </c>
      <c r="B129">
        <v>39201625</v>
      </c>
      <c r="C129">
        <v>42358427</v>
      </c>
      <c r="D129">
        <v>24225554</v>
      </c>
      <c r="E129">
        <v>1</v>
      </c>
      <c r="F129">
        <v>1</v>
      </c>
      <c r="G129">
        <v>1</v>
      </c>
      <c r="H129">
        <v>1</v>
      </c>
      <c r="I129" t="s">
        <v>506</v>
      </c>
      <c r="J129" t="s">
        <v>3</v>
      </c>
      <c r="K129" t="s">
        <v>507</v>
      </c>
      <c r="L129">
        <v>1476</v>
      </c>
      <c r="N129">
        <v>1013</v>
      </c>
      <c r="O129" t="s">
        <v>380</v>
      </c>
      <c r="P129" t="s">
        <v>381</v>
      </c>
      <c r="Q129">
        <v>1</v>
      </c>
      <c r="W129">
        <v>0</v>
      </c>
      <c r="X129">
        <v>421273387</v>
      </c>
      <c r="Y129">
        <v>4.9770000000000003</v>
      </c>
      <c r="AA129">
        <v>0</v>
      </c>
      <c r="AB129">
        <v>0</v>
      </c>
      <c r="AC129">
        <v>0</v>
      </c>
      <c r="AD129">
        <v>6.94</v>
      </c>
      <c r="AE129">
        <v>0</v>
      </c>
      <c r="AF129">
        <v>0</v>
      </c>
      <c r="AG129">
        <v>0</v>
      </c>
      <c r="AH129">
        <v>6.94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7.11</v>
      </c>
      <c r="AU129" t="s">
        <v>242</v>
      </c>
      <c r="AV129">
        <v>1</v>
      </c>
      <c r="AW129">
        <v>2</v>
      </c>
      <c r="AX129">
        <v>42358436</v>
      </c>
      <c r="AY129">
        <v>1</v>
      </c>
      <c r="AZ129">
        <v>0</v>
      </c>
      <c r="BA129">
        <v>128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Y129*Source!I279</f>
        <v>3.4839000000000002</v>
      </c>
      <c r="CY129">
        <f>AD129</f>
        <v>6.94</v>
      </c>
      <c r="CZ129">
        <f>AH129</f>
        <v>6.94</v>
      </c>
      <c r="DA129">
        <f>AL129</f>
        <v>1</v>
      </c>
      <c r="DB129">
        <f t="shared" ref="DB129:DB139" si="18">ROUND((ROUND(AT129*CZ129,2)*0.7),2)</f>
        <v>34.54</v>
      </c>
      <c r="DC129">
        <f t="shared" ref="DC129:DC139" si="19">ROUND((ROUND(AT129*AG129,2)*0.7),2)</f>
        <v>0</v>
      </c>
    </row>
    <row r="130" spans="1:107" x14ac:dyDescent="0.2">
      <c r="A130">
        <f>ROW(Source!A279)</f>
        <v>279</v>
      </c>
      <c r="B130">
        <v>39201625</v>
      </c>
      <c r="C130">
        <v>42358427</v>
      </c>
      <c r="D130">
        <v>121548</v>
      </c>
      <c r="E130">
        <v>1</v>
      </c>
      <c r="F130">
        <v>1</v>
      </c>
      <c r="G130">
        <v>1</v>
      </c>
      <c r="H130">
        <v>1</v>
      </c>
      <c r="I130" t="s">
        <v>26</v>
      </c>
      <c r="J130" t="s">
        <v>3</v>
      </c>
      <c r="K130" t="s">
        <v>382</v>
      </c>
      <c r="L130">
        <v>608254</v>
      </c>
      <c r="N130">
        <v>1013</v>
      </c>
      <c r="O130" t="s">
        <v>383</v>
      </c>
      <c r="P130" t="s">
        <v>383</v>
      </c>
      <c r="Q130">
        <v>1</v>
      </c>
      <c r="W130">
        <v>0</v>
      </c>
      <c r="X130">
        <v>-185737400</v>
      </c>
      <c r="Y130">
        <v>0.39899999999999997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0.56999999999999995</v>
      </c>
      <c r="AU130" t="s">
        <v>242</v>
      </c>
      <c r="AV130">
        <v>2</v>
      </c>
      <c r="AW130">
        <v>2</v>
      </c>
      <c r="AX130">
        <v>42358437</v>
      </c>
      <c r="AY130">
        <v>1</v>
      </c>
      <c r="AZ130">
        <v>0</v>
      </c>
      <c r="BA130">
        <v>129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Y130*Source!I279</f>
        <v>0.27929999999999994</v>
      </c>
      <c r="CY130">
        <f>AD130</f>
        <v>0</v>
      </c>
      <c r="CZ130">
        <f>AH130</f>
        <v>0</v>
      </c>
      <c r="DA130">
        <f>AL130</f>
        <v>1</v>
      </c>
      <c r="DB130">
        <f t="shared" si="18"/>
        <v>0</v>
      </c>
      <c r="DC130">
        <f t="shared" si="19"/>
        <v>0</v>
      </c>
    </row>
    <row r="131" spans="1:107" x14ac:dyDescent="0.2">
      <c r="A131">
        <f>ROW(Source!A279)</f>
        <v>279</v>
      </c>
      <c r="B131">
        <v>39201625</v>
      </c>
      <c r="C131">
        <v>42358427</v>
      </c>
      <c r="D131">
        <v>26554003</v>
      </c>
      <c r="E131">
        <v>1</v>
      </c>
      <c r="F131">
        <v>1</v>
      </c>
      <c r="G131">
        <v>1</v>
      </c>
      <c r="H131">
        <v>2</v>
      </c>
      <c r="I131" t="s">
        <v>508</v>
      </c>
      <c r="J131" t="s">
        <v>509</v>
      </c>
      <c r="K131" t="s">
        <v>510</v>
      </c>
      <c r="L131">
        <v>26553684</v>
      </c>
      <c r="N131">
        <v>1013</v>
      </c>
      <c r="O131" t="s">
        <v>387</v>
      </c>
      <c r="P131" t="s">
        <v>387</v>
      </c>
      <c r="Q131">
        <v>1</v>
      </c>
      <c r="W131">
        <v>0</v>
      </c>
      <c r="X131">
        <v>-2011679798</v>
      </c>
      <c r="Y131">
        <v>0.39899999999999997</v>
      </c>
      <c r="AA131">
        <v>0</v>
      </c>
      <c r="AB131">
        <v>22.07</v>
      </c>
      <c r="AC131">
        <v>11.38</v>
      </c>
      <c r="AD131">
        <v>0</v>
      </c>
      <c r="AE131">
        <v>0</v>
      </c>
      <c r="AF131">
        <v>22.07</v>
      </c>
      <c r="AG131">
        <v>11.38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0.56999999999999995</v>
      </c>
      <c r="AU131" t="s">
        <v>242</v>
      </c>
      <c r="AV131">
        <v>0</v>
      </c>
      <c r="AW131">
        <v>2</v>
      </c>
      <c r="AX131">
        <v>42358438</v>
      </c>
      <c r="AY131">
        <v>1</v>
      </c>
      <c r="AZ131">
        <v>0</v>
      </c>
      <c r="BA131">
        <v>130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Y131*Source!I279</f>
        <v>0.27929999999999994</v>
      </c>
      <c r="CY131">
        <f>AB131</f>
        <v>22.07</v>
      </c>
      <c r="CZ131">
        <f>AF131</f>
        <v>22.07</v>
      </c>
      <c r="DA131">
        <f>AJ131</f>
        <v>1</v>
      </c>
      <c r="DB131">
        <f t="shared" si="18"/>
        <v>8.81</v>
      </c>
      <c r="DC131">
        <f t="shared" si="19"/>
        <v>4.54</v>
      </c>
    </row>
    <row r="132" spans="1:107" x14ac:dyDescent="0.2">
      <c r="A132">
        <f>ROW(Source!A279)</f>
        <v>279</v>
      </c>
      <c r="B132">
        <v>39201625</v>
      </c>
      <c r="C132">
        <v>42358427</v>
      </c>
      <c r="D132">
        <v>26555589</v>
      </c>
      <c r="E132">
        <v>1</v>
      </c>
      <c r="F132">
        <v>1</v>
      </c>
      <c r="G132">
        <v>1</v>
      </c>
      <c r="H132">
        <v>2</v>
      </c>
      <c r="I132" t="s">
        <v>511</v>
      </c>
      <c r="J132" t="s">
        <v>512</v>
      </c>
      <c r="K132" t="s">
        <v>513</v>
      </c>
      <c r="L132">
        <v>26553684</v>
      </c>
      <c r="N132">
        <v>1013</v>
      </c>
      <c r="O132" t="s">
        <v>387</v>
      </c>
      <c r="P132" t="s">
        <v>387</v>
      </c>
      <c r="Q132">
        <v>1</v>
      </c>
      <c r="W132">
        <v>0</v>
      </c>
      <c r="X132">
        <v>1858496602</v>
      </c>
      <c r="Y132">
        <v>0.39899999999999997</v>
      </c>
      <c r="AA132">
        <v>0</v>
      </c>
      <c r="AB132">
        <v>1.05</v>
      </c>
      <c r="AC132">
        <v>0</v>
      </c>
      <c r="AD132">
        <v>0</v>
      </c>
      <c r="AE132">
        <v>0</v>
      </c>
      <c r="AF132">
        <v>1.05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0.56999999999999995</v>
      </c>
      <c r="AU132" t="s">
        <v>242</v>
      </c>
      <c r="AV132">
        <v>0</v>
      </c>
      <c r="AW132">
        <v>2</v>
      </c>
      <c r="AX132">
        <v>42358439</v>
      </c>
      <c r="AY132">
        <v>1</v>
      </c>
      <c r="AZ132">
        <v>0</v>
      </c>
      <c r="BA132">
        <v>131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Y132*Source!I279</f>
        <v>0.27929999999999994</v>
      </c>
      <c r="CY132">
        <f>AB132</f>
        <v>1.05</v>
      </c>
      <c r="CZ132">
        <f>AF132</f>
        <v>1.05</v>
      </c>
      <c r="DA132">
        <f>AJ132</f>
        <v>1</v>
      </c>
      <c r="DB132">
        <f t="shared" si="18"/>
        <v>0.42</v>
      </c>
      <c r="DC132">
        <f t="shared" si="19"/>
        <v>0</v>
      </c>
    </row>
    <row r="133" spans="1:107" x14ac:dyDescent="0.2">
      <c r="A133">
        <f>ROW(Source!A279)</f>
        <v>279</v>
      </c>
      <c r="B133">
        <v>39201625</v>
      </c>
      <c r="C133">
        <v>42358427</v>
      </c>
      <c r="D133">
        <v>26555822</v>
      </c>
      <c r="E133">
        <v>1</v>
      </c>
      <c r="F133">
        <v>1</v>
      </c>
      <c r="G133">
        <v>1</v>
      </c>
      <c r="H133">
        <v>2</v>
      </c>
      <c r="I133" t="s">
        <v>461</v>
      </c>
      <c r="J133" t="s">
        <v>462</v>
      </c>
      <c r="K133" t="s">
        <v>463</v>
      </c>
      <c r="L133">
        <v>26553684</v>
      </c>
      <c r="N133">
        <v>1013</v>
      </c>
      <c r="O133" t="s">
        <v>387</v>
      </c>
      <c r="P133" t="s">
        <v>387</v>
      </c>
      <c r="Q133">
        <v>1</v>
      </c>
      <c r="W133">
        <v>0</v>
      </c>
      <c r="X133">
        <v>210745813</v>
      </c>
      <c r="Y133">
        <v>7.6999999999999999E-2</v>
      </c>
      <c r="AA133">
        <v>0</v>
      </c>
      <c r="AB133">
        <v>86.55</v>
      </c>
      <c r="AC133">
        <v>0</v>
      </c>
      <c r="AD133">
        <v>0</v>
      </c>
      <c r="AE133">
        <v>0</v>
      </c>
      <c r="AF133">
        <v>86.55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0.11</v>
      </c>
      <c r="AU133" t="s">
        <v>242</v>
      </c>
      <c r="AV133">
        <v>0</v>
      </c>
      <c r="AW133">
        <v>2</v>
      </c>
      <c r="AX133">
        <v>42358440</v>
      </c>
      <c r="AY133">
        <v>1</v>
      </c>
      <c r="AZ133">
        <v>0</v>
      </c>
      <c r="BA133">
        <v>132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Y133*Source!I279</f>
        <v>5.3899999999999997E-2</v>
      </c>
      <c r="CY133">
        <f>AB133</f>
        <v>86.55</v>
      </c>
      <c r="CZ133">
        <f>AF133</f>
        <v>86.55</v>
      </c>
      <c r="DA133">
        <f>AJ133</f>
        <v>1</v>
      </c>
      <c r="DB133">
        <f t="shared" si="18"/>
        <v>6.66</v>
      </c>
      <c r="DC133">
        <f t="shared" si="19"/>
        <v>0</v>
      </c>
    </row>
    <row r="134" spans="1:107" x14ac:dyDescent="0.2">
      <c r="A134">
        <f>ROW(Source!A280)</f>
        <v>280</v>
      </c>
      <c r="B134">
        <v>39201625</v>
      </c>
      <c r="C134">
        <v>42358446</v>
      </c>
      <c r="D134">
        <v>24225554</v>
      </c>
      <c r="E134">
        <v>1</v>
      </c>
      <c r="F134">
        <v>1</v>
      </c>
      <c r="G134">
        <v>1</v>
      </c>
      <c r="H134">
        <v>1</v>
      </c>
      <c r="I134" t="s">
        <v>506</v>
      </c>
      <c r="J134" t="s">
        <v>3</v>
      </c>
      <c r="K134" t="s">
        <v>507</v>
      </c>
      <c r="L134">
        <v>1476</v>
      </c>
      <c r="N134">
        <v>1013</v>
      </c>
      <c r="O134" t="s">
        <v>380</v>
      </c>
      <c r="P134" t="s">
        <v>381</v>
      </c>
      <c r="Q134">
        <v>1</v>
      </c>
      <c r="W134">
        <v>0</v>
      </c>
      <c r="X134">
        <v>421273387</v>
      </c>
      <c r="Y134">
        <v>30.834999999999997</v>
      </c>
      <c r="AA134">
        <v>0</v>
      </c>
      <c r="AB134">
        <v>0</v>
      </c>
      <c r="AC134">
        <v>0</v>
      </c>
      <c r="AD134">
        <v>6.94</v>
      </c>
      <c r="AE134">
        <v>0</v>
      </c>
      <c r="AF134">
        <v>0</v>
      </c>
      <c r="AG134">
        <v>0</v>
      </c>
      <c r="AH134">
        <v>6.94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44.05</v>
      </c>
      <c r="AU134" t="s">
        <v>242</v>
      </c>
      <c r="AV134">
        <v>1</v>
      </c>
      <c r="AW134">
        <v>2</v>
      </c>
      <c r="AX134">
        <v>42358455</v>
      </c>
      <c r="AY134">
        <v>1</v>
      </c>
      <c r="AZ134">
        <v>0</v>
      </c>
      <c r="BA134">
        <v>135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Y134*Source!I280</f>
        <v>2.1584500000000002</v>
      </c>
      <c r="CY134">
        <f>AD134</f>
        <v>6.94</v>
      </c>
      <c r="CZ134">
        <f>AH134</f>
        <v>6.94</v>
      </c>
      <c r="DA134">
        <f>AL134</f>
        <v>1</v>
      </c>
      <c r="DB134">
        <f t="shared" si="18"/>
        <v>214</v>
      </c>
      <c r="DC134">
        <f t="shared" si="19"/>
        <v>0</v>
      </c>
    </row>
    <row r="135" spans="1:107" x14ac:dyDescent="0.2">
      <c r="A135">
        <f>ROW(Source!A280)</f>
        <v>280</v>
      </c>
      <c r="B135">
        <v>39201625</v>
      </c>
      <c r="C135">
        <v>42358446</v>
      </c>
      <c r="D135">
        <v>121548</v>
      </c>
      <c r="E135">
        <v>1</v>
      </c>
      <c r="F135">
        <v>1</v>
      </c>
      <c r="G135">
        <v>1</v>
      </c>
      <c r="H135">
        <v>1</v>
      </c>
      <c r="I135" t="s">
        <v>26</v>
      </c>
      <c r="J135" t="s">
        <v>3</v>
      </c>
      <c r="K135" t="s">
        <v>382</v>
      </c>
      <c r="L135">
        <v>608254</v>
      </c>
      <c r="N135">
        <v>1013</v>
      </c>
      <c r="O135" t="s">
        <v>383</v>
      </c>
      <c r="P135" t="s">
        <v>383</v>
      </c>
      <c r="Q135">
        <v>1</v>
      </c>
      <c r="W135">
        <v>0</v>
      </c>
      <c r="X135">
        <v>-185737400</v>
      </c>
      <c r="Y135">
        <v>19.739999999999998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28.2</v>
      </c>
      <c r="AU135" t="s">
        <v>242</v>
      </c>
      <c r="AV135">
        <v>2</v>
      </c>
      <c r="AW135">
        <v>2</v>
      </c>
      <c r="AX135">
        <v>42358456</v>
      </c>
      <c r="AY135">
        <v>1</v>
      </c>
      <c r="AZ135">
        <v>0</v>
      </c>
      <c r="BA135">
        <v>136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Y135*Source!I280</f>
        <v>1.3817999999999999</v>
      </c>
      <c r="CY135">
        <f>AD135</f>
        <v>0</v>
      </c>
      <c r="CZ135">
        <f>AH135</f>
        <v>0</v>
      </c>
      <c r="DA135">
        <f>AL135</f>
        <v>1</v>
      </c>
      <c r="DB135">
        <f t="shared" si="18"/>
        <v>0</v>
      </c>
      <c r="DC135">
        <f t="shared" si="19"/>
        <v>0</v>
      </c>
    </row>
    <row r="136" spans="1:107" x14ac:dyDescent="0.2">
      <c r="A136">
        <f>ROW(Source!A280)</f>
        <v>280</v>
      </c>
      <c r="B136">
        <v>39201625</v>
      </c>
      <c r="C136">
        <v>42358446</v>
      </c>
      <c r="D136">
        <v>26554003</v>
      </c>
      <c r="E136">
        <v>1</v>
      </c>
      <c r="F136">
        <v>1</v>
      </c>
      <c r="G136">
        <v>1</v>
      </c>
      <c r="H136">
        <v>2</v>
      </c>
      <c r="I136" t="s">
        <v>508</v>
      </c>
      <c r="J136" t="s">
        <v>509</v>
      </c>
      <c r="K136" t="s">
        <v>510</v>
      </c>
      <c r="L136">
        <v>26553684</v>
      </c>
      <c r="N136">
        <v>1013</v>
      </c>
      <c r="O136" t="s">
        <v>387</v>
      </c>
      <c r="P136" t="s">
        <v>387</v>
      </c>
      <c r="Q136">
        <v>1</v>
      </c>
      <c r="W136">
        <v>0</v>
      </c>
      <c r="X136">
        <v>-2011679798</v>
      </c>
      <c r="Y136">
        <v>19.739999999999998</v>
      </c>
      <c r="AA136">
        <v>0</v>
      </c>
      <c r="AB136">
        <v>22.07</v>
      </c>
      <c r="AC136">
        <v>11.38</v>
      </c>
      <c r="AD136">
        <v>0</v>
      </c>
      <c r="AE136">
        <v>0</v>
      </c>
      <c r="AF136">
        <v>22.07</v>
      </c>
      <c r="AG136">
        <v>11.38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28.2</v>
      </c>
      <c r="AU136" t="s">
        <v>242</v>
      </c>
      <c r="AV136">
        <v>0</v>
      </c>
      <c r="AW136">
        <v>2</v>
      </c>
      <c r="AX136">
        <v>42358457</v>
      </c>
      <c r="AY136">
        <v>1</v>
      </c>
      <c r="AZ136">
        <v>0</v>
      </c>
      <c r="BA136">
        <v>137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Y136*Source!I280</f>
        <v>1.3817999999999999</v>
      </c>
      <c r="CY136">
        <f>AB136</f>
        <v>22.07</v>
      </c>
      <c r="CZ136">
        <f>AF136</f>
        <v>22.07</v>
      </c>
      <c r="DA136">
        <f>AJ136</f>
        <v>1</v>
      </c>
      <c r="DB136">
        <f t="shared" si="18"/>
        <v>435.66</v>
      </c>
      <c r="DC136">
        <f t="shared" si="19"/>
        <v>224.64</v>
      </c>
    </row>
    <row r="137" spans="1:107" x14ac:dyDescent="0.2">
      <c r="A137">
        <f>ROW(Source!A280)</f>
        <v>280</v>
      </c>
      <c r="B137">
        <v>39201625</v>
      </c>
      <c r="C137">
        <v>42358446</v>
      </c>
      <c r="D137">
        <v>26555500</v>
      </c>
      <c r="E137">
        <v>1</v>
      </c>
      <c r="F137">
        <v>1</v>
      </c>
      <c r="G137">
        <v>1</v>
      </c>
      <c r="H137">
        <v>2</v>
      </c>
      <c r="I137" t="s">
        <v>514</v>
      </c>
      <c r="J137" t="s">
        <v>515</v>
      </c>
      <c r="K137" t="s">
        <v>516</v>
      </c>
      <c r="L137">
        <v>26553684</v>
      </c>
      <c r="N137">
        <v>1013</v>
      </c>
      <c r="O137" t="s">
        <v>387</v>
      </c>
      <c r="P137" t="s">
        <v>387</v>
      </c>
      <c r="Q137">
        <v>1</v>
      </c>
      <c r="W137">
        <v>0</v>
      </c>
      <c r="X137">
        <v>-986917855</v>
      </c>
      <c r="Y137">
        <v>11.081</v>
      </c>
      <c r="AA137">
        <v>0</v>
      </c>
      <c r="AB137">
        <v>26.26</v>
      </c>
      <c r="AC137">
        <v>0</v>
      </c>
      <c r="AD137">
        <v>0</v>
      </c>
      <c r="AE137">
        <v>0</v>
      </c>
      <c r="AF137">
        <v>26.26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15.83</v>
      </c>
      <c r="AU137" t="s">
        <v>242</v>
      </c>
      <c r="AV137">
        <v>0</v>
      </c>
      <c r="AW137">
        <v>2</v>
      </c>
      <c r="AX137">
        <v>42358458</v>
      </c>
      <c r="AY137">
        <v>1</v>
      </c>
      <c r="AZ137">
        <v>0</v>
      </c>
      <c r="BA137">
        <v>138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Y137*Source!I280</f>
        <v>0.77567000000000008</v>
      </c>
      <c r="CY137">
        <f>AB137</f>
        <v>26.26</v>
      </c>
      <c r="CZ137">
        <f>AF137</f>
        <v>26.26</v>
      </c>
      <c r="DA137">
        <f>AJ137</f>
        <v>1</v>
      </c>
      <c r="DB137">
        <f t="shared" si="18"/>
        <v>290.99</v>
      </c>
      <c r="DC137">
        <f t="shared" si="19"/>
        <v>0</v>
      </c>
    </row>
    <row r="138" spans="1:107" x14ac:dyDescent="0.2">
      <c r="A138">
        <f>ROW(Source!A280)</f>
        <v>280</v>
      </c>
      <c r="B138">
        <v>39201625</v>
      </c>
      <c r="C138">
        <v>42358446</v>
      </c>
      <c r="D138">
        <v>26555589</v>
      </c>
      <c r="E138">
        <v>1</v>
      </c>
      <c r="F138">
        <v>1</v>
      </c>
      <c r="G138">
        <v>1</v>
      </c>
      <c r="H138">
        <v>2</v>
      </c>
      <c r="I138" t="s">
        <v>511</v>
      </c>
      <c r="J138" t="s">
        <v>512</v>
      </c>
      <c r="K138" t="s">
        <v>513</v>
      </c>
      <c r="L138">
        <v>26553684</v>
      </c>
      <c r="N138">
        <v>1013</v>
      </c>
      <c r="O138" t="s">
        <v>387</v>
      </c>
      <c r="P138" t="s">
        <v>387</v>
      </c>
      <c r="Q138">
        <v>1</v>
      </c>
      <c r="W138">
        <v>0</v>
      </c>
      <c r="X138">
        <v>1858496602</v>
      </c>
      <c r="Y138">
        <v>8.68</v>
      </c>
      <c r="AA138">
        <v>0</v>
      </c>
      <c r="AB138">
        <v>1.05</v>
      </c>
      <c r="AC138">
        <v>0</v>
      </c>
      <c r="AD138">
        <v>0</v>
      </c>
      <c r="AE138">
        <v>0</v>
      </c>
      <c r="AF138">
        <v>1.05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12.4</v>
      </c>
      <c r="AU138" t="s">
        <v>242</v>
      </c>
      <c r="AV138">
        <v>0</v>
      </c>
      <c r="AW138">
        <v>2</v>
      </c>
      <c r="AX138">
        <v>42358459</v>
      </c>
      <c r="AY138">
        <v>1</v>
      </c>
      <c r="AZ138">
        <v>0</v>
      </c>
      <c r="BA138">
        <v>139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Y138*Source!I280</f>
        <v>0.60760000000000003</v>
      </c>
      <c r="CY138">
        <f>AB138</f>
        <v>1.05</v>
      </c>
      <c r="CZ138">
        <f>AF138</f>
        <v>1.05</v>
      </c>
      <c r="DA138">
        <f>AJ138</f>
        <v>1</v>
      </c>
      <c r="DB138">
        <f t="shared" si="18"/>
        <v>9.11</v>
      </c>
      <c r="DC138">
        <f t="shared" si="19"/>
        <v>0</v>
      </c>
    </row>
    <row r="139" spans="1:107" x14ac:dyDescent="0.2">
      <c r="A139">
        <f>ROW(Source!A280)</f>
        <v>280</v>
      </c>
      <c r="B139">
        <v>39201625</v>
      </c>
      <c r="C139">
        <v>42358446</v>
      </c>
      <c r="D139">
        <v>26555822</v>
      </c>
      <c r="E139">
        <v>1</v>
      </c>
      <c r="F139">
        <v>1</v>
      </c>
      <c r="G139">
        <v>1</v>
      </c>
      <c r="H139">
        <v>2</v>
      </c>
      <c r="I139" t="s">
        <v>461</v>
      </c>
      <c r="J139" t="s">
        <v>462</v>
      </c>
      <c r="K139" t="s">
        <v>463</v>
      </c>
      <c r="L139">
        <v>26553684</v>
      </c>
      <c r="N139">
        <v>1013</v>
      </c>
      <c r="O139" t="s">
        <v>387</v>
      </c>
      <c r="P139" t="s">
        <v>387</v>
      </c>
      <c r="Q139">
        <v>1</v>
      </c>
      <c r="W139">
        <v>0</v>
      </c>
      <c r="X139">
        <v>210745813</v>
      </c>
      <c r="Y139">
        <v>1.1059999999999999</v>
      </c>
      <c r="AA139">
        <v>0</v>
      </c>
      <c r="AB139">
        <v>86.55</v>
      </c>
      <c r="AC139">
        <v>0</v>
      </c>
      <c r="AD139">
        <v>0</v>
      </c>
      <c r="AE139">
        <v>0</v>
      </c>
      <c r="AF139">
        <v>86.55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1.58</v>
      </c>
      <c r="AU139" t="s">
        <v>242</v>
      </c>
      <c r="AV139">
        <v>0</v>
      </c>
      <c r="AW139">
        <v>2</v>
      </c>
      <c r="AX139">
        <v>42358460</v>
      </c>
      <c r="AY139">
        <v>1</v>
      </c>
      <c r="AZ139">
        <v>0</v>
      </c>
      <c r="BA139">
        <v>140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Y139*Source!I280</f>
        <v>7.7420000000000003E-2</v>
      </c>
      <c r="CY139">
        <f>AB139</f>
        <v>86.55</v>
      </c>
      <c r="CZ139">
        <f>AF139</f>
        <v>86.55</v>
      </c>
      <c r="DA139">
        <f>AJ139</f>
        <v>1</v>
      </c>
      <c r="DB139">
        <f t="shared" si="18"/>
        <v>95.73</v>
      </c>
      <c r="DC139">
        <f t="shared" si="19"/>
        <v>0</v>
      </c>
    </row>
    <row r="140" spans="1:107" x14ac:dyDescent="0.2">
      <c r="A140">
        <f>ROW(Source!A281)</f>
        <v>281</v>
      </c>
      <c r="B140">
        <v>39201625</v>
      </c>
      <c r="C140">
        <v>42358296</v>
      </c>
      <c r="D140">
        <v>24233972</v>
      </c>
      <c r="E140">
        <v>1</v>
      </c>
      <c r="F140">
        <v>1</v>
      </c>
      <c r="G140">
        <v>1</v>
      </c>
      <c r="H140">
        <v>1</v>
      </c>
      <c r="I140" t="s">
        <v>517</v>
      </c>
      <c r="J140" t="s">
        <v>3</v>
      </c>
      <c r="K140" t="s">
        <v>518</v>
      </c>
      <c r="L140">
        <v>1476</v>
      </c>
      <c r="N140">
        <v>1013</v>
      </c>
      <c r="O140" t="s">
        <v>380</v>
      </c>
      <c r="P140" t="s">
        <v>381</v>
      </c>
      <c r="Q140">
        <v>1</v>
      </c>
      <c r="W140">
        <v>0</v>
      </c>
      <c r="X140">
        <v>61709741</v>
      </c>
      <c r="Y140">
        <v>243.35</v>
      </c>
      <c r="AA140">
        <v>0</v>
      </c>
      <c r="AB140">
        <v>0</v>
      </c>
      <c r="AC140">
        <v>0</v>
      </c>
      <c r="AD140">
        <v>6.76</v>
      </c>
      <c r="AE140">
        <v>0</v>
      </c>
      <c r="AF140">
        <v>0</v>
      </c>
      <c r="AG140">
        <v>0</v>
      </c>
      <c r="AH140">
        <v>6.76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243.35</v>
      </c>
      <c r="AU140" t="s">
        <v>3</v>
      </c>
      <c r="AV140">
        <v>1</v>
      </c>
      <c r="AW140">
        <v>2</v>
      </c>
      <c r="AX140">
        <v>42358303</v>
      </c>
      <c r="AY140">
        <v>1</v>
      </c>
      <c r="AZ140">
        <v>0</v>
      </c>
      <c r="BA140">
        <v>143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Y140*Source!I281</f>
        <v>24.335000000000001</v>
      </c>
      <c r="CY140">
        <f>AD140</f>
        <v>6.76</v>
      </c>
      <c r="CZ140">
        <f>AH140</f>
        <v>6.76</v>
      </c>
      <c r="DA140">
        <f>AL140</f>
        <v>1</v>
      </c>
      <c r="DB140">
        <f t="shared" ref="DB140:DB145" si="20">ROUND(ROUND(AT140*CZ140,2),2)</f>
        <v>1645.05</v>
      </c>
      <c r="DC140">
        <f t="shared" ref="DC140:DC145" si="21">ROUND(ROUND(AT140*AG140,2),2)</f>
        <v>0</v>
      </c>
    </row>
    <row r="141" spans="1:107" x14ac:dyDescent="0.2">
      <c r="A141">
        <f>ROW(Source!A281)</f>
        <v>281</v>
      </c>
      <c r="B141">
        <v>39201625</v>
      </c>
      <c r="C141">
        <v>42358296</v>
      </c>
      <c r="D141">
        <v>121548</v>
      </c>
      <c r="E141">
        <v>1</v>
      </c>
      <c r="F141">
        <v>1</v>
      </c>
      <c r="G141">
        <v>1</v>
      </c>
      <c r="H141">
        <v>1</v>
      </c>
      <c r="I141" t="s">
        <v>26</v>
      </c>
      <c r="J141" t="s">
        <v>3</v>
      </c>
      <c r="K141" t="s">
        <v>382</v>
      </c>
      <c r="L141">
        <v>608254</v>
      </c>
      <c r="N141">
        <v>1013</v>
      </c>
      <c r="O141" t="s">
        <v>383</v>
      </c>
      <c r="P141" t="s">
        <v>383</v>
      </c>
      <c r="Q141">
        <v>1</v>
      </c>
      <c r="W141">
        <v>0</v>
      </c>
      <c r="X141">
        <v>-185737400</v>
      </c>
      <c r="Y141">
        <v>41.39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41.39</v>
      </c>
      <c r="AU141" t="s">
        <v>3</v>
      </c>
      <c r="AV141">
        <v>2</v>
      </c>
      <c r="AW141">
        <v>2</v>
      </c>
      <c r="AX141">
        <v>42358304</v>
      </c>
      <c r="AY141">
        <v>1</v>
      </c>
      <c r="AZ141">
        <v>0</v>
      </c>
      <c r="BA141">
        <v>144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Y141*Source!I281</f>
        <v>4.1390000000000002</v>
      </c>
      <c r="CY141">
        <f>AD141</f>
        <v>0</v>
      </c>
      <c r="CZ141">
        <f>AH141</f>
        <v>0</v>
      </c>
      <c r="DA141">
        <f>AL141</f>
        <v>1</v>
      </c>
      <c r="DB141">
        <f t="shared" si="20"/>
        <v>0</v>
      </c>
      <c r="DC141">
        <f t="shared" si="21"/>
        <v>0</v>
      </c>
    </row>
    <row r="142" spans="1:107" x14ac:dyDescent="0.2">
      <c r="A142">
        <f>ROW(Source!A281)</f>
        <v>281</v>
      </c>
      <c r="B142">
        <v>39201625</v>
      </c>
      <c r="C142">
        <v>42358296</v>
      </c>
      <c r="D142">
        <v>26554068</v>
      </c>
      <c r="E142">
        <v>1</v>
      </c>
      <c r="F142">
        <v>1</v>
      </c>
      <c r="G142">
        <v>1</v>
      </c>
      <c r="H142">
        <v>2</v>
      </c>
      <c r="I142" t="s">
        <v>413</v>
      </c>
      <c r="J142" t="s">
        <v>414</v>
      </c>
      <c r="K142" t="s">
        <v>415</v>
      </c>
      <c r="L142">
        <v>26553684</v>
      </c>
      <c r="N142">
        <v>1013</v>
      </c>
      <c r="O142" t="s">
        <v>387</v>
      </c>
      <c r="P142" t="s">
        <v>387</v>
      </c>
      <c r="Q142">
        <v>1</v>
      </c>
      <c r="W142">
        <v>0</v>
      </c>
      <c r="X142">
        <v>-845897375</v>
      </c>
      <c r="Y142">
        <v>39.25</v>
      </c>
      <c r="AA142">
        <v>0</v>
      </c>
      <c r="AB142">
        <v>89.82</v>
      </c>
      <c r="AC142">
        <v>9.8800000000000008</v>
      </c>
      <c r="AD142">
        <v>0</v>
      </c>
      <c r="AE142">
        <v>0</v>
      </c>
      <c r="AF142">
        <v>89.82</v>
      </c>
      <c r="AG142">
        <v>9.8800000000000008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39.25</v>
      </c>
      <c r="AU142" t="s">
        <v>3</v>
      </c>
      <c r="AV142">
        <v>0</v>
      </c>
      <c r="AW142">
        <v>2</v>
      </c>
      <c r="AX142">
        <v>42358305</v>
      </c>
      <c r="AY142">
        <v>1</v>
      </c>
      <c r="AZ142">
        <v>0</v>
      </c>
      <c r="BA142">
        <v>145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Y142*Source!I281</f>
        <v>3.9250000000000003</v>
      </c>
      <c r="CY142">
        <f>AB142</f>
        <v>89.82</v>
      </c>
      <c r="CZ142">
        <f>AF142</f>
        <v>89.82</v>
      </c>
      <c r="DA142">
        <f>AJ142</f>
        <v>1</v>
      </c>
      <c r="DB142">
        <f t="shared" si="20"/>
        <v>3525.44</v>
      </c>
      <c r="DC142">
        <f t="shared" si="21"/>
        <v>387.79</v>
      </c>
    </row>
    <row r="143" spans="1:107" x14ac:dyDescent="0.2">
      <c r="A143">
        <f>ROW(Source!A281)</f>
        <v>281</v>
      </c>
      <c r="B143">
        <v>39201625</v>
      </c>
      <c r="C143">
        <v>42358296</v>
      </c>
      <c r="D143">
        <v>26554263</v>
      </c>
      <c r="E143">
        <v>1</v>
      </c>
      <c r="F143">
        <v>1</v>
      </c>
      <c r="G143">
        <v>1</v>
      </c>
      <c r="H143">
        <v>2</v>
      </c>
      <c r="I143" t="s">
        <v>391</v>
      </c>
      <c r="J143" t="s">
        <v>392</v>
      </c>
      <c r="K143" t="s">
        <v>393</v>
      </c>
      <c r="L143">
        <v>26553684</v>
      </c>
      <c r="N143">
        <v>1013</v>
      </c>
      <c r="O143" t="s">
        <v>387</v>
      </c>
      <c r="P143" t="s">
        <v>387</v>
      </c>
      <c r="Q143">
        <v>1</v>
      </c>
      <c r="W143">
        <v>0</v>
      </c>
      <c r="X143">
        <v>206065422</v>
      </c>
      <c r="Y143">
        <v>1.29</v>
      </c>
      <c r="AA143">
        <v>0</v>
      </c>
      <c r="AB143">
        <v>8</v>
      </c>
      <c r="AC143">
        <v>0</v>
      </c>
      <c r="AD143">
        <v>0</v>
      </c>
      <c r="AE143">
        <v>0</v>
      </c>
      <c r="AF143">
        <v>8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1.29</v>
      </c>
      <c r="AU143" t="s">
        <v>3</v>
      </c>
      <c r="AV143">
        <v>0</v>
      </c>
      <c r="AW143">
        <v>2</v>
      </c>
      <c r="AX143">
        <v>42358306</v>
      </c>
      <c r="AY143">
        <v>1</v>
      </c>
      <c r="AZ143">
        <v>0</v>
      </c>
      <c r="BA143">
        <v>146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Y143*Source!I281</f>
        <v>0.129</v>
      </c>
      <c r="CY143">
        <f>AB143</f>
        <v>8</v>
      </c>
      <c r="CZ143">
        <f>AF143</f>
        <v>8</v>
      </c>
      <c r="DA143">
        <f>AJ143</f>
        <v>1</v>
      </c>
      <c r="DB143">
        <f t="shared" si="20"/>
        <v>10.32</v>
      </c>
      <c r="DC143">
        <f t="shared" si="21"/>
        <v>0</v>
      </c>
    </row>
    <row r="144" spans="1:107" x14ac:dyDescent="0.2">
      <c r="A144">
        <f>ROW(Source!A281)</f>
        <v>281</v>
      </c>
      <c r="B144">
        <v>39201625</v>
      </c>
      <c r="C144">
        <v>42358296</v>
      </c>
      <c r="D144">
        <v>26554394</v>
      </c>
      <c r="E144">
        <v>1</v>
      </c>
      <c r="F144">
        <v>1</v>
      </c>
      <c r="G144">
        <v>1</v>
      </c>
      <c r="H144">
        <v>2</v>
      </c>
      <c r="I144" t="s">
        <v>432</v>
      </c>
      <c r="J144" t="s">
        <v>433</v>
      </c>
      <c r="K144" t="s">
        <v>434</v>
      </c>
      <c r="L144">
        <v>26553684</v>
      </c>
      <c r="N144">
        <v>1013</v>
      </c>
      <c r="O144" t="s">
        <v>387</v>
      </c>
      <c r="P144" t="s">
        <v>387</v>
      </c>
      <c r="Q144">
        <v>1</v>
      </c>
      <c r="W144">
        <v>0</v>
      </c>
      <c r="X144">
        <v>-1665323131</v>
      </c>
      <c r="Y144">
        <v>2.14</v>
      </c>
      <c r="AA144">
        <v>0</v>
      </c>
      <c r="AB144">
        <v>122.76</v>
      </c>
      <c r="AC144">
        <v>13.26</v>
      </c>
      <c r="AD144">
        <v>0</v>
      </c>
      <c r="AE144">
        <v>0</v>
      </c>
      <c r="AF144">
        <v>122.76</v>
      </c>
      <c r="AG144">
        <v>13.26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2.14</v>
      </c>
      <c r="AU144" t="s">
        <v>3</v>
      </c>
      <c r="AV144">
        <v>0</v>
      </c>
      <c r="AW144">
        <v>2</v>
      </c>
      <c r="AX144">
        <v>42358307</v>
      </c>
      <c r="AY144">
        <v>1</v>
      </c>
      <c r="AZ144">
        <v>0</v>
      </c>
      <c r="BA144">
        <v>147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Y144*Source!I281</f>
        <v>0.21400000000000002</v>
      </c>
      <c r="CY144">
        <f>AB144</f>
        <v>122.76</v>
      </c>
      <c r="CZ144">
        <f>AF144</f>
        <v>122.76</v>
      </c>
      <c r="DA144">
        <f>AJ144</f>
        <v>1</v>
      </c>
      <c r="DB144">
        <f t="shared" si="20"/>
        <v>262.70999999999998</v>
      </c>
      <c r="DC144">
        <f t="shared" si="21"/>
        <v>28.38</v>
      </c>
    </row>
    <row r="145" spans="1:107" x14ac:dyDescent="0.2">
      <c r="A145">
        <f>ROW(Source!A281)</f>
        <v>281</v>
      </c>
      <c r="B145">
        <v>39201625</v>
      </c>
      <c r="C145">
        <v>42358296</v>
      </c>
      <c r="D145">
        <v>26555456</v>
      </c>
      <c r="E145">
        <v>1</v>
      </c>
      <c r="F145">
        <v>1</v>
      </c>
      <c r="G145">
        <v>1</v>
      </c>
      <c r="H145">
        <v>2</v>
      </c>
      <c r="I145" t="s">
        <v>416</v>
      </c>
      <c r="J145" t="s">
        <v>417</v>
      </c>
      <c r="K145" t="s">
        <v>418</v>
      </c>
      <c r="L145">
        <v>26553684</v>
      </c>
      <c r="N145">
        <v>1013</v>
      </c>
      <c r="O145" t="s">
        <v>387</v>
      </c>
      <c r="P145" t="s">
        <v>387</v>
      </c>
      <c r="Q145">
        <v>1</v>
      </c>
      <c r="W145">
        <v>0</v>
      </c>
      <c r="X145">
        <v>652181876</v>
      </c>
      <c r="Y145">
        <v>117.75</v>
      </c>
      <c r="AA145">
        <v>0</v>
      </c>
      <c r="AB145">
        <v>1.53</v>
      </c>
      <c r="AC145">
        <v>0</v>
      </c>
      <c r="AD145">
        <v>0</v>
      </c>
      <c r="AE145">
        <v>0</v>
      </c>
      <c r="AF145">
        <v>1.53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117.75</v>
      </c>
      <c r="AU145" t="s">
        <v>3</v>
      </c>
      <c r="AV145">
        <v>0</v>
      </c>
      <c r="AW145">
        <v>2</v>
      </c>
      <c r="AX145">
        <v>42358308</v>
      </c>
      <c r="AY145">
        <v>1</v>
      </c>
      <c r="AZ145">
        <v>0</v>
      </c>
      <c r="BA145">
        <v>148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Y145*Source!I281</f>
        <v>11.775</v>
      </c>
      <c r="CY145">
        <f>AB145</f>
        <v>1.53</v>
      </c>
      <c r="CZ145">
        <f>AF145</f>
        <v>1.53</v>
      </c>
      <c r="DA145">
        <f>AJ145</f>
        <v>1</v>
      </c>
      <c r="DB145">
        <f t="shared" si="20"/>
        <v>180.16</v>
      </c>
      <c r="DC145">
        <f t="shared" si="21"/>
        <v>0</v>
      </c>
    </row>
    <row r="146" spans="1:107" x14ac:dyDescent="0.2">
      <c r="A146">
        <f>ROW(Source!A284)</f>
        <v>284</v>
      </c>
      <c r="B146">
        <v>39201625</v>
      </c>
      <c r="C146">
        <v>42358311</v>
      </c>
      <c r="D146">
        <v>24225554</v>
      </c>
      <c r="E146">
        <v>1</v>
      </c>
      <c r="F146">
        <v>1</v>
      </c>
      <c r="G146">
        <v>1</v>
      </c>
      <c r="H146">
        <v>1</v>
      </c>
      <c r="I146" t="s">
        <v>506</v>
      </c>
      <c r="J146" t="s">
        <v>3</v>
      </c>
      <c r="K146" t="s">
        <v>507</v>
      </c>
      <c r="L146">
        <v>1476</v>
      </c>
      <c r="N146">
        <v>1013</v>
      </c>
      <c r="O146" t="s">
        <v>380</v>
      </c>
      <c r="P146" t="s">
        <v>381</v>
      </c>
      <c r="Q146">
        <v>1</v>
      </c>
      <c r="W146">
        <v>0</v>
      </c>
      <c r="X146">
        <v>421273387</v>
      </c>
      <c r="Y146">
        <v>134.34299999999999</v>
      </c>
      <c r="AA146">
        <v>0</v>
      </c>
      <c r="AB146">
        <v>0</v>
      </c>
      <c r="AC146">
        <v>0</v>
      </c>
      <c r="AD146">
        <v>6.94</v>
      </c>
      <c r="AE146">
        <v>0</v>
      </c>
      <c r="AF146">
        <v>0</v>
      </c>
      <c r="AG146">
        <v>0</v>
      </c>
      <c r="AH146">
        <v>6.94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116.82</v>
      </c>
      <c r="AU146" t="s">
        <v>139</v>
      </c>
      <c r="AV146">
        <v>1</v>
      </c>
      <c r="AW146">
        <v>2</v>
      </c>
      <c r="AX146">
        <v>42358327</v>
      </c>
      <c r="AY146">
        <v>1</v>
      </c>
      <c r="AZ146">
        <v>0</v>
      </c>
      <c r="BA146">
        <v>149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Y146*Source!I284</f>
        <v>3.7213010999999994</v>
      </c>
      <c r="CY146">
        <f>AD146</f>
        <v>6.94</v>
      </c>
      <c r="CZ146">
        <f>AH146</f>
        <v>6.94</v>
      </c>
      <c r="DA146">
        <f>AL146</f>
        <v>1</v>
      </c>
      <c r="DB146">
        <f>ROUND((ROUND(AT146*CZ146,2)*1.15),2)</f>
        <v>932.34</v>
      </c>
      <c r="DC146">
        <f>ROUND((ROUND(AT146*AG146,2)*1.15),2)</f>
        <v>0</v>
      </c>
    </row>
    <row r="147" spans="1:107" x14ac:dyDescent="0.2">
      <c r="A147">
        <f>ROW(Source!A284)</f>
        <v>284</v>
      </c>
      <c r="B147">
        <v>39201625</v>
      </c>
      <c r="C147">
        <v>42358311</v>
      </c>
      <c r="D147">
        <v>121548</v>
      </c>
      <c r="E147">
        <v>1</v>
      </c>
      <c r="F147">
        <v>1</v>
      </c>
      <c r="G147">
        <v>1</v>
      </c>
      <c r="H147">
        <v>1</v>
      </c>
      <c r="I147" t="s">
        <v>26</v>
      </c>
      <c r="J147" t="s">
        <v>3</v>
      </c>
      <c r="K147" t="s">
        <v>382</v>
      </c>
      <c r="L147">
        <v>608254</v>
      </c>
      <c r="N147">
        <v>1013</v>
      </c>
      <c r="O147" t="s">
        <v>383</v>
      </c>
      <c r="P147" t="s">
        <v>383</v>
      </c>
      <c r="Q147">
        <v>1</v>
      </c>
      <c r="W147">
        <v>0</v>
      </c>
      <c r="X147">
        <v>-185737400</v>
      </c>
      <c r="Y147">
        <v>24.3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19.440000000000001</v>
      </c>
      <c r="AU147" t="s">
        <v>138</v>
      </c>
      <c r="AV147">
        <v>2</v>
      </c>
      <c r="AW147">
        <v>2</v>
      </c>
      <c r="AX147">
        <v>42358328</v>
      </c>
      <c r="AY147">
        <v>1</v>
      </c>
      <c r="AZ147">
        <v>0</v>
      </c>
      <c r="BA147">
        <v>150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Y147*Source!I284</f>
        <v>0.67310999999999999</v>
      </c>
      <c r="CY147">
        <f>AD147</f>
        <v>0</v>
      </c>
      <c r="CZ147">
        <f>AH147</f>
        <v>0</v>
      </c>
      <c r="DA147">
        <f>AL147</f>
        <v>1</v>
      </c>
      <c r="DB147">
        <f t="shared" ref="DB147:DB153" si="22">ROUND((ROUND(AT147*CZ147,2)*1.25),2)</f>
        <v>0</v>
      </c>
      <c r="DC147">
        <f t="shared" ref="DC147:DC153" si="23">ROUND((ROUND(AT147*AG147,2)*1.25),2)</f>
        <v>0</v>
      </c>
    </row>
    <row r="148" spans="1:107" x14ac:dyDescent="0.2">
      <c r="A148">
        <f>ROW(Source!A284)</f>
        <v>284</v>
      </c>
      <c r="B148">
        <v>39201625</v>
      </c>
      <c r="C148">
        <v>42358311</v>
      </c>
      <c r="D148">
        <v>26553729</v>
      </c>
      <c r="E148">
        <v>1</v>
      </c>
      <c r="F148">
        <v>1</v>
      </c>
      <c r="G148">
        <v>1</v>
      </c>
      <c r="H148">
        <v>2</v>
      </c>
      <c r="I148" t="s">
        <v>493</v>
      </c>
      <c r="J148" t="s">
        <v>494</v>
      </c>
      <c r="K148" t="s">
        <v>495</v>
      </c>
      <c r="L148">
        <v>26553684</v>
      </c>
      <c r="N148">
        <v>1013</v>
      </c>
      <c r="O148" t="s">
        <v>387</v>
      </c>
      <c r="P148" t="s">
        <v>387</v>
      </c>
      <c r="Q148">
        <v>1</v>
      </c>
      <c r="W148">
        <v>0</v>
      </c>
      <c r="X148">
        <v>1269786461</v>
      </c>
      <c r="Y148">
        <v>23.35</v>
      </c>
      <c r="AA148">
        <v>0</v>
      </c>
      <c r="AB148">
        <v>86.16</v>
      </c>
      <c r="AC148">
        <v>13.26</v>
      </c>
      <c r="AD148">
        <v>0</v>
      </c>
      <c r="AE148">
        <v>0</v>
      </c>
      <c r="AF148">
        <v>86.16</v>
      </c>
      <c r="AG148">
        <v>13.26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18.68</v>
      </c>
      <c r="AU148" t="s">
        <v>138</v>
      </c>
      <c r="AV148">
        <v>0</v>
      </c>
      <c r="AW148">
        <v>2</v>
      </c>
      <c r="AX148">
        <v>42358329</v>
      </c>
      <c r="AY148">
        <v>1</v>
      </c>
      <c r="AZ148">
        <v>0</v>
      </c>
      <c r="BA148">
        <v>151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Y148*Source!I284</f>
        <v>0.64679500000000001</v>
      </c>
      <c r="CY148">
        <f t="shared" ref="CY148:CY153" si="24">AB148</f>
        <v>86.16</v>
      </c>
      <c r="CZ148">
        <f t="shared" ref="CZ148:CZ153" si="25">AF148</f>
        <v>86.16</v>
      </c>
      <c r="DA148">
        <f t="shared" ref="DA148:DA153" si="26">AJ148</f>
        <v>1</v>
      </c>
      <c r="DB148">
        <f t="shared" si="22"/>
        <v>2011.84</v>
      </c>
      <c r="DC148">
        <f t="shared" si="23"/>
        <v>309.63</v>
      </c>
    </row>
    <row r="149" spans="1:107" x14ac:dyDescent="0.2">
      <c r="A149">
        <f>ROW(Source!A284)</f>
        <v>284</v>
      </c>
      <c r="B149">
        <v>39201625</v>
      </c>
      <c r="C149">
        <v>42358311</v>
      </c>
      <c r="D149">
        <v>26553813</v>
      </c>
      <c r="E149">
        <v>1</v>
      </c>
      <c r="F149">
        <v>1</v>
      </c>
      <c r="G149">
        <v>1</v>
      </c>
      <c r="H149">
        <v>2</v>
      </c>
      <c r="I149" t="s">
        <v>446</v>
      </c>
      <c r="J149" t="s">
        <v>447</v>
      </c>
      <c r="K149" t="s">
        <v>448</v>
      </c>
      <c r="L149">
        <v>26553684</v>
      </c>
      <c r="N149">
        <v>1013</v>
      </c>
      <c r="O149" t="s">
        <v>387</v>
      </c>
      <c r="P149" t="s">
        <v>387</v>
      </c>
      <c r="Q149">
        <v>1</v>
      </c>
      <c r="W149">
        <v>0</v>
      </c>
      <c r="X149">
        <v>79867837</v>
      </c>
      <c r="Y149">
        <v>0.61250000000000004</v>
      </c>
      <c r="AA149">
        <v>0</v>
      </c>
      <c r="AB149">
        <v>111.75</v>
      </c>
      <c r="AC149">
        <v>13.26</v>
      </c>
      <c r="AD149">
        <v>0</v>
      </c>
      <c r="AE149">
        <v>0</v>
      </c>
      <c r="AF149">
        <v>111.75</v>
      </c>
      <c r="AG149">
        <v>13.26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0.49</v>
      </c>
      <c r="AU149" t="s">
        <v>138</v>
      </c>
      <c r="AV149">
        <v>0</v>
      </c>
      <c r="AW149">
        <v>2</v>
      </c>
      <c r="AX149">
        <v>42358330</v>
      </c>
      <c r="AY149">
        <v>1</v>
      </c>
      <c r="AZ149">
        <v>0</v>
      </c>
      <c r="BA149">
        <v>152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Y149*Source!I284</f>
        <v>1.6966250000000002E-2</v>
      </c>
      <c r="CY149">
        <f t="shared" si="24"/>
        <v>111.75</v>
      </c>
      <c r="CZ149">
        <f t="shared" si="25"/>
        <v>111.75</v>
      </c>
      <c r="DA149">
        <f t="shared" si="26"/>
        <v>1</v>
      </c>
      <c r="DB149">
        <f t="shared" si="22"/>
        <v>68.45</v>
      </c>
      <c r="DC149">
        <f t="shared" si="23"/>
        <v>8.1300000000000008</v>
      </c>
    </row>
    <row r="150" spans="1:107" x14ac:dyDescent="0.2">
      <c r="A150">
        <f>ROW(Source!A284)</f>
        <v>284</v>
      </c>
      <c r="B150">
        <v>39201625</v>
      </c>
      <c r="C150">
        <v>42358311</v>
      </c>
      <c r="D150">
        <v>26553886</v>
      </c>
      <c r="E150">
        <v>1</v>
      </c>
      <c r="F150">
        <v>1</v>
      </c>
      <c r="G150">
        <v>1</v>
      </c>
      <c r="H150">
        <v>2</v>
      </c>
      <c r="I150" t="s">
        <v>429</v>
      </c>
      <c r="J150" t="s">
        <v>430</v>
      </c>
      <c r="K150" t="s">
        <v>431</v>
      </c>
      <c r="L150">
        <v>26553684</v>
      </c>
      <c r="N150">
        <v>1013</v>
      </c>
      <c r="O150" t="s">
        <v>387</v>
      </c>
      <c r="P150" t="s">
        <v>387</v>
      </c>
      <c r="Q150">
        <v>1</v>
      </c>
      <c r="W150">
        <v>0</v>
      </c>
      <c r="X150">
        <v>-1120646225</v>
      </c>
      <c r="Y150">
        <v>0.33750000000000002</v>
      </c>
      <c r="AA150">
        <v>0</v>
      </c>
      <c r="AB150">
        <v>89.81</v>
      </c>
      <c r="AC150">
        <v>9.8800000000000008</v>
      </c>
      <c r="AD150">
        <v>0</v>
      </c>
      <c r="AE150">
        <v>0</v>
      </c>
      <c r="AF150">
        <v>89.81</v>
      </c>
      <c r="AG150">
        <v>9.8800000000000008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0.27</v>
      </c>
      <c r="AU150" t="s">
        <v>138</v>
      </c>
      <c r="AV150">
        <v>0</v>
      </c>
      <c r="AW150">
        <v>2</v>
      </c>
      <c r="AX150">
        <v>42358331</v>
      </c>
      <c r="AY150">
        <v>1</v>
      </c>
      <c r="AZ150">
        <v>0</v>
      </c>
      <c r="BA150">
        <v>153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Y150*Source!I284</f>
        <v>9.3487499999999994E-3</v>
      </c>
      <c r="CY150">
        <f t="shared" si="24"/>
        <v>89.81</v>
      </c>
      <c r="CZ150">
        <f t="shared" si="25"/>
        <v>89.81</v>
      </c>
      <c r="DA150">
        <f t="shared" si="26"/>
        <v>1</v>
      </c>
      <c r="DB150">
        <f t="shared" si="22"/>
        <v>30.31</v>
      </c>
      <c r="DC150">
        <f t="shared" si="23"/>
        <v>3.34</v>
      </c>
    </row>
    <row r="151" spans="1:107" x14ac:dyDescent="0.2">
      <c r="A151">
        <f>ROW(Source!A284)</f>
        <v>284</v>
      </c>
      <c r="B151">
        <v>39201625</v>
      </c>
      <c r="C151">
        <v>42358311</v>
      </c>
      <c r="D151">
        <v>26554371</v>
      </c>
      <c r="E151">
        <v>1</v>
      </c>
      <c r="F151">
        <v>1</v>
      </c>
      <c r="G151">
        <v>1</v>
      </c>
      <c r="H151">
        <v>2</v>
      </c>
      <c r="I151" t="s">
        <v>519</v>
      </c>
      <c r="J151" t="s">
        <v>520</v>
      </c>
      <c r="K151" t="s">
        <v>521</v>
      </c>
      <c r="L151">
        <v>26553684</v>
      </c>
      <c r="N151">
        <v>1013</v>
      </c>
      <c r="O151" t="s">
        <v>387</v>
      </c>
      <c r="P151" t="s">
        <v>387</v>
      </c>
      <c r="Q151">
        <v>1</v>
      </c>
      <c r="W151">
        <v>0</v>
      </c>
      <c r="X151">
        <v>1501863298</v>
      </c>
      <c r="Y151">
        <v>7.2874999999999996</v>
      </c>
      <c r="AA151">
        <v>0</v>
      </c>
      <c r="AB151">
        <v>1.9</v>
      </c>
      <c r="AC151">
        <v>0</v>
      </c>
      <c r="AD151">
        <v>0</v>
      </c>
      <c r="AE151">
        <v>0</v>
      </c>
      <c r="AF151">
        <v>1.9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5.83</v>
      </c>
      <c r="AU151" t="s">
        <v>138</v>
      </c>
      <c r="AV151">
        <v>0</v>
      </c>
      <c r="AW151">
        <v>2</v>
      </c>
      <c r="AX151">
        <v>42358332</v>
      </c>
      <c r="AY151">
        <v>1</v>
      </c>
      <c r="AZ151">
        <v>0</v>
      </c>
      <c r="BA151">
        <v>154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Y151*Source!I284</f>
        <v>0.20186374999999998</v>
      </c>
      <c r="CY151">
        <f t="shared" si="24"/>
        <v>1.9</v>
      </c>
      <c r="CZ151">
        <f t="shared" si="25"/>
        <v>1.9</v>
      </c>
      <c r="DA151">
        <f t="shared" si="26"/>
        <v>1</v>
      </c>
      <c r="DB151">
        <f t="shared" si="22"/>
        <v>13.85</v>
      </c>
      <c r="DC151">
        <f t="shared" si="23"/>
        <v>0</v>
      </c>
    </row>
    <row r="152" spans="1:107" x14ac:dyDescent="0.2">
      <c r="A152">
        <f>ROW(Source!A284)</f>
        <v>284</v>
      </c>
      <c r="B152">
        <v>39201625</v>
      </c>
      <c r="C152">
        <v>42358311</v>
      </c>
      <c r="D152">
        <v>26555507</v>
      </c>
      <c r="E152">
        <v>1</v>
      </c>
      <c r="F152">
        <v>1</v>
      </c>
      <c r="G152">
        <v>1</v>
      </c>
      <c r="H152">
        <v>2</v>
      </c>
      <c r="I152" t="s">
        <v>522</v>
      </c>
      <c r="J152" t="s">
        <v>523</v>
      </c>
      <c r="K152" t="s">
        <v>524</v>
      </c>
      <c r="L152">
        <v>26553684</v>
      </c>
      <c r="N152">
        <v>1013</v>
      </c>
      <c r="O152" t="s">
        <v>387</v>
      </c>
      <c r="P152" t="s">
        <v>387</v>
      </c>
      <c r="Q152">
        <v>1</v>
      </c>
      <c r="W152">
        <v>0</v>
      </c>
      <c r="X152">
        <v>-1549040038</v>
      </c>
      <c r="Y152">
        <v>0.125</v>
      </c>
      <c r="AA152">
        <v>0</v>
      </c>
      <c r="AB152">
        <v>3.27</v>
      </c>
      <c r="AC152">
        <v>0</v>
      </c>
      <c r="AD152">
        <v>0</v>
      </c>
      <c r="AE152">
        <v>0</v>
      </c>
      <c r="AF152">
        <v>3.27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0.1</v>
      </c>
      <c r="AU152" t="s">
        <v>138</v>
      </c>
      <c r="AV152">
        <v>0</v>
      </c>
      <c r="AW152">
        <v>2</v>
      </c>
      <c r="AX152">
        <v>42358333</v>
      </c>
      <c r="AY152">
        <v>1</v>
      </c>
      <c r="AZ152">
        <v>0</v>
      </c>
      <c r="BA152">
        <v>155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Y152*Source!I284</f>
        <v>3.4624999999999999E-3</v>
      </c>
      <c r="CY152">
        <f t="shared" si="24"/>
        <v>3.27</v>
      </c>
      <c r="CZ152">
        <f t="shared" si="25"/>
        <v>3.27</v>
      </c>
      <c r="DA152">
        <f t="shared" si="26"/>
        <v>1</v>
      </c>
      <c r="DB152">
        <f t="shared" si="22"/>
        <v>0.41</v>
      </c>
      <c r="DC152">
        <f t="shared" si="23"/>
        <v>0</v>
      </c>
    </row>
    <row r="153" spans="1:107" x14ac:dyDescent="0.2">
      <c r="A153">
        <f>ROW(Source!A284)</f>
        <v>284</v>
      </c>
      <c r="B153">
        <v>39201625</v>
      </c>
      <c r="C153">
        <v>42358311</v>
      </c>
      <c r="D153">
        <v>26555822</v>
      </c>
      <c r="E153">
        <v>1</v>
      </c>
      <c r="F153">
        <v>1</v>
      </c>
      <c r="G153">
        <v>1</v>
      </c>
      <c r="H153">
        <v>2</v>
      </c>
      <c r="I153" t="s">
        <v>461</v>
      </c>
      <c r="J153" t="s">
        <v>462</v>
      </c>
      <c r="K153" t="s">
        <v>463</v>
      </c>
      <c r="L153">
        <v>26553684</v>
      </c>
      <c r="N153">
        <v>1013</v>
      </c>
      <c r="O153" t="s">
        <v>387</v>
      </c>
      <c r="P153" t="s">
        <v>387</v>
      </c>
      <c r="Q153">
        <v>1</v>
      </c>
      <c r="W153">
        <v>0</v>
      </c>
      <c r="X153">
        <v>210745813</v>
      </c>
      <c r="Y153">
        <v>0.88749999999999996</v>
      </c>
      <c r="AA153">
        <v>0</v>
      </c>
      <c r="AB153">
        <v>86.55</v>
      </c>
      <c r="AC153">
        <v>0</v>
      </c>
      <c r="AD153">
        <v>0</v>
      </c>
      <c r="AE153">
        <v>0</v>
      </c>
      <c r="AF153">
        <v>86.55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0.71</v>
      </c>
      <c r="AU153" t="s">
        <v>138</v>
      </c>
      <c r="AV153">
        <v>0</v>
      </c>
      <c r="AW153">
        <v>2</v>
      </c>
      <c r="AX153">
        <v>42358334</v>
      </c>
      <c r="AY153">
        <v>1</v>
      </c>
      <c r="AZ153">
        <v>0</v>
      </c>
      <c r="BA153">
        <v>156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Y153*Source!I284</f>
        <v>2.4583749999999998E-2</v>
      </c>
      <c r="CY153">
        <f t="shared" si="24"/>
        <v>86.55</v>
      </c>
      <c r="CZ153">
        <f t="shared" si="25"/>
        <v>86.55</v>
      </c>
      <c r="DA153">
        <f t="shared" si="26"/>
        <v>1</v>
      </c>
      <c r="DB153">
        <f t="shared" si="22"/>
        <v>76.81</v>
      </c>
      <c r="DC153">
        <f t="shared" si="23"/>
        <v>0</v>
      </c>
    </row>
    <row r="154" spans="1:107" x14ac:dyDescent="0.2">
      <c r="A154">
        <f>ROW(Source!A284)</f>
        <v>284</v>
      </c>
      <c r="B154">
        <v>39201625</v>
      </c>
      <c r="C154">
        <v>42358311</v>
      </c>
      <c r="D154">
        <v>26558648</v>
      </c>
      <c r="E154">
        <v>1</v>
      </c>
      <c r="F154">
        <v>1</v>
      </c>
      <c r="G154">
        <v>1</v>
      </c>
      <c r="H154">
        <v>3</v>
      </c>
      <c r="I154" t="s">
        <v>499</v>
      </c>
      <c r="J154" t="s">
        <v>500</v>
      </c>
      <c r="K154" t="s">
        <v>501</v>
      </c>
      <c r="L154">
        <v>1327</v>
      </c>
      <c r="N154">
        <v>1005</v>
      </c>
      <c r="O154" t="s">
        <v>502</v>
      </c>
      <c r="P154" t="s">
        <v>502</v>
      </c>
      <c r="Q154">
        <v>1</v>
      </c>
      <c r="W154">
        <v>0</v>
      </c>
      <c r="X154">
        <v>844764035</v>
      </c>
      <c r="Y154">
        <v>30</v>
      </c>
      <c r="AA154">
        <v>9.1999999999999993</v>
      </c>
      <c r="AB154">
        <v>0</v>
      </c>
      <c r="AC154">
        <v>0</v>
      </c>
      <c r="AD154">
        <v>0</v>
      </c>
      <c r="AE154">
        <v>9.1999999999999993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30</v>
      </c>
      <c r="AU154" t="s">
        <v>3</v>
      </c>
      <c r="AV154">
        <v>0</v>
      </c>
      <c r="AW154">
        <v>2</v>
      </c>
      <c r="AX154">
        <v>42358335</v>
      </c>
      <c r="AY154">
        <v>1</v>
      </c>
      <c r="AZ154">
        <v>0</v>
      </c>
      <c r="BA154">
        <v>157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Y154*Source!I284</f>
        <v>0.83099999999999996</v>
      </c>
      <c r="CY154">
        <f t="shared" ref="CY154:CY160" si="27">AA154</f>
        <v>9.1999999999999993</v>
      </c>
      <c r="CZ154">
        <f t="shared" ref="CZ154:CZ160" si="28">AE154</f>
        <v>9.1999999999999993</v>
      </c>
      <c r="DA154">
        <f t="shared" ref="DA154:DA160" si="29">AI154</f>
        <v>1</v>
      </c>
      <c r="DB154">
        <f t="shared" ref="DB154:DB160" si="30">ROUND(ROUND(AT154*CZ154,2),2)</f>
        <v>276</v>
      </c>
      <c r="DC154">
        <f t="shared" ref="DC154:DC160" si="31">ROUND(ROUND(AT154*AG154,2),2)</f>
        <v>0</v>
      </c>
    </row>
    <row r="155" spans="1:107" x14ac:dyDescent="0.2">
      <c r="A155">
        <f>ROW(Source!A284)</f>
        <v>284</v>
      </c>
      <c r="B155">
        <v>39201625</v>
      </c>
      <c r="C155">
        <v>42358311</v>
      </c>
      <c r="D155">
        <v>26558869</v>
      </c>
      <c r="E155">
        <v>1</v>
      </c>
      <c r="F155">
        <v>1</v>
      </c>
      <c r="G155">
        <v>1</v>
      </c>
      <c r="H155">
        <v>3</v>
      </c>
      <c r="I155" t="s">
        <v>479</v>
      </c>
      <c r="J155" t="s">
        <v>480</v>
      </c>
      <c r="K155" t="s">
        <v>481</v>
      </c>
      <c r="L155">
        <v>1348</v>
      </c>
      <c r="N155">
        <v>1009</v>
      </c>
      <c r="O155" t="s">
        <v>169</v>
      </c>
      <c r="P155" t="s">
        <v>169</v>
      </c>
      <c r="Q155">
        <v>1000</v>
      </c>
      <c r="W155">
        <v>0</v>
      </c>
      <c r="X155">
        <v>-1791058657</v>
      </c>
      <c r="Y155">
        <v>2E-3</v>
      </c>
      <c r="AA155">
        <v>10992.4</v>
      </c>
      <c r="AB155">
        <v>0</v>
      </c>
      <c r="AC155">
        <v>0</v>
      </c>
      <c r="AD155">
        <v>0</v>
      </c>
      <c r="AE155">
        <v>10992.4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2E-3</v>
      </c>
      <c r="AU155" t="s">
        <v>3</v>
      </c>
      <c r="AV155">
        <v>0</v>
      </c>
      <c r="AW155">
        <v>2</v>
      </c>
      <c r="AX155">
        <v>42358336</v>
      </c>
      <c r="AY155">
        <v>1</v>
      </c>
      <c r="AZ155">
        <v>0</v>
      </c>
      <c r="BA155">
        <v>158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Y155*Source!I284</f>
        <v>5.5399999999999998E-5</v>
      </c>
      <c r="CY155">
        <f t="shared" si="27"/>
        <v>10992.4</v>
      </c>
      <c r="CZ155">
        <f t="shared" si="28"/>
        <v>10992.4</v>
      </c>
      <c r="DA155">
        <f t="shared" si="29"/>
        <v>1</v>
      </c>
      <c r="DB155">
        <f t="shared" si="30"/>
        <v>21.98</v>
      </c>
      <c r="DC155">
        <f t="shared" si="31"/>
        <v>0</v>
      </c>
    </row>
    <row r="156" spans="1:107" x14ac:dyDescent="0.2">
      <c r="A156">
        <f>ROW(Source!A284)</f>
        <v>284</v>
      </c>
      <c r="B156">
        <v>39201625</v>
      </c>
      <c r="C156">
        <v>42358311</v>
      </c>
      <c r="D156">
        <v>26565950</v>
      </c>
      <c r="E156">
        <v>1</v>
      </c>
      <c r="F156">
        <v>1</v>
      </c>
      <c r="G156">
        <v>1</v>
      </c>
      <c r="H156">
        <v>3</v>
      </c>
      <c r="I156" t="s">
        <v>525</v>
      </c>
      <c r="J156" t="s">
        <v>526</v>
      </c>
      <c r="K156" t="s">
        <v>527</v>
      </c>
      <c r="L156">
        <v>1339</v>
      </c>
      <c r="N156">
        <v>1007</v>
      </c>
      <c r="O156" t="s">
        <v>130</v>
      </c>
      <c r="P156" t="s">
        <v>130</v>
      </c>
      <c r="Q156">
        <v>1</v>
      </c>
      <c r="W156">
        <v>0</v>
      </c>
      <c r="X156">
        <v>1286759767</v>
      </c>
      <c r="Y156">
        <v>0.04</v>
      </c>
      <c r="AA156">
        <v>959.12</v>
      </c>
      <c r="AB156">
        <v>0</v>
      </c>
      <c r="AC156">
        <v>0</v>
      </c>
      <c r="AD156">
        <v>0</v>
      </c>
      <c r="AE156">
        <v>959.12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0.04</v>
      </c>
      <c r="AU156" t="s">
        <v>3</v>
      </c>
      <c r="AV156">
        <v>0</v>
      </c>
      <c r="AW156">
        <v>2</v>
      </c>
      <c r="AX156">
        <v>42358337</v>
      </c>
      <c r="AY156">
        <v>1</v>
      </c>
      <c r="AZ156">
        <v>0</v>
      </c>
      <c r="BA156">
        <v>159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Y156*Source!I284</f>
        <v>1.108E-3</v>
      </c>
      <c r="CY156">
        <f t="shared" si="27"/>
        <v>959.12</v>
      </c>
      <c r="CZ156">
        <f t="shared" si="28"/>
        <v>959.12</v>
      </c>
      <c r="DA156">
        <f t="shared" si="29"/>
        <v>1</v>
      </c>
      <c r="DB156">
        <f t="shared" si="30"/>
        <v>38.36</v>
      </c>
      <c r="DC156">
        <f t="shared" si="31"/>
        <v>0</v>
      </c>
    </row>
    <row r="157" spans="1:107" x14ac:dyDescent="0.2">
      <c r="A157">
        <f>ROW(Source!A284)</f>
        <v>284</v>
      </c>
      <c r="B157">
        <v>39201625</v>
      </c>
      <c r="C157">
        <v>42358311</v>
      </c>
      <c r="D157">
        <v>26581635</v>
      </c>
      <c r="E157">
        <v>1</v>
      </c>
      <c r="F157">
        <v>1</v>
      </c>
      <c r="G157">
        <v>1</v>
      </c>
      <c r="H157">
        <v>3</v>
      </c>
      <c r="I157" t="s">
        <v>528</v>
      </c>
      <c r="J157" t="s">
        <v>529</v>
      </c>
      <c r="K157" t="s">
        <v>530</v>
      </c>
      <c r="L157">
        <v>1327</v>
      </c>
      <c r="N157">
        <v>1005</v>
      </c>
      <c r="O157" t="s">
        <v>502</v>
      </c>
      <c r="P157" t="s">
        <v>502</v>
      </c>
      <c r="Q157">
        <v>1</v>
      </c>
      <c r="W157">
        <v>0</v>
      </c>
      <c r="X157">
        <v>1252575531</v>
      </c>
      <c r="Y157">
        <v>3.6</v>
      </c>
      <c r="AA157">
        <v>54.22</v>
      </c>
      <c r="AB157">
        <v>0</v>
      </c>
      <c r="AC157">
        <v>0</v>
      </c>
      <c r="AD157">
        <v>0</v>
      </c>
      <c r="AE157">
        <v>54.22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3.6</v>
      </c>
      <c r="AU157" t="s">
        <v>3</v>
      </c>
      <c r="AV157">
        <v>0</v>
      </c>
      <c r="AW157">
        <v>2</v>
      </c>
      <c r="AX157">
        <v>42358338</v>
      </c>
      <c r="AY157">
        <v>1</v>
      </c>
      <c r="AZ157">
        <v>0</v>
      </c>
      <c r="BA157">
        <v>160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Y157*Source!I284</f>
        <v>9.9720000000000003E-2</v>
      </c>
      <c r="CY157">
        <f t="shared" si="27"/>
        <v>54.22</v>
      </c>
      <c r="CZ157">
        <f t="shared" si="28"/>
        <v>54.22</v>
      </c>
      <c r="DA157">
        <f t="shared" si="29"/>
        <v>1</v>
      </c>
      <c r="DB157">
        <f t="shared" si="30"/>
        <v>195.19</v>
      </c>
      <c r="DC157">
        <f t="shared" si="31"/>
        <v>0</v>
      </c>
    </row>
    <row r="158" spans="1:107" x14ac:dyDescent="0.2">
      <c r="A158">
        <f>ROW(Source!A284)</f>
        <v>284</v>
      </c>
      <c r="B158">
        <v>39201625</v>
      </c>
      <c r="C158">
        <v>42358311</v>
      </c>
      <c r="D158">
        <v>26597197</v>
      </c>
      <c r="E158">
        <v>1</v>
      </c>
      <c r="F158">
        <v>1</v>
      </c>
      <c r="G158">
        <v>1</v>
      </c>
      <c r="H158">
        <v>3</v>
      </c>
      <c r="I158" t="s">
        <v>531</v>
      </c>
      <c r="J158" t="s">
        <v>532</v>
      </c>
      <c r="K158" t="s">
        <v>533</v>
      </c>
      <c r="L158">
        <v>1339</v>
      </c>
      <c r="N158">
        <v>1007</v>
      </c>
      <c r="O158" t="s">
        <v>130</v>
      </c>
      <c r="P158" t="s">
        <v>130</v>
      </c>
      <c r="Q158">
        <v>1</v>
      </c>
      <c r="W158">
        <v>0</v>
      </c>
      <c r="X158">
        <v>-989605547</v>
      </c>
      <c r="Y158">
        <v>102</v>
      </c>
      <c r="AA158">
        <v>521.88</v>
      </c>
      <c r="AB158">
        <v>0</v>
      </c>
      <c r="AC158">
        <v>0</v>
      </c>
      <c r="AD158">
        <v>0</v>
      </c>
      <c r="AE158">
        <v>521.88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102</v>
      </c>
      <c r="AU158" t="s">
        <v>3</v>
      </c>
      <c r="AV158">
        <v>0</v>
      </c>
      <c r="AW158">
        <v>2</v>
      </c>
      <c r="AX158">
        <v>42358339</v>
      </c>
      <c r="AY158">
        <v>1</v>
      </c>
      <c r="AZ158">
        <v>0</v>
      </c>
      <c r="BA158">
        <v>161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Y158*Source!I284</f>
        <v>2.8253999999999997</v>
      </c>
      <c r="CY158">
        <f t="shared" si="27"/>
        <v>521.88</v>
      </c>
      <c r="CZ158">
        <f t="shared" si="28"/>
        <v>521.88</v>
      </c>
      <c r="DA158">
        <f t="shared" si="29"/>
        <v>1</v>
      </c>
      <c r="DB158">
        <f t="shared" si="30"/>
        <v>53231.76</v>
      </c>
      <c r="DC158">
        <f t="shared" si="31"/>
        <v>0</v>
      </c>
    </row>
    <row r="159" spans="1:107" x14ac:dyDescent="0.2">
      <c r="A159">
        <f>ROW(Source!A284)</f>
        <v>284</v>
      </c>
      <c r="B159">
        <v>39201625</v>
      </c>
      <c r="C159">
        <v>42358311</v>
      </c>
      <c r="D159">
        <v>26607369</v>
      </c>
      <c r="E159">
        <v>1</v>
      </c>
      <c r="F159">
        <v>1</v>
      </c>
      <c r="G159">
        <v>1</v>
      </c>
      <c r="H159">
        <v>3</v>
      </c>
      <c r="I159" t="s">
        <v>534</v>
      </c>
      <c r="J159" t="s">
        <v>535</v>
      </c>
      <c r="K159" t="s">
        <v>536</v>
      </c>
      <c r="L159">
        <v>1348</v>
      </c>
      <c r="N159">
        <v>1009</v>
      </c>
      <c r="O159" t="s">
        <v>169</v>
      </c>
      <c r="P159" t="s">
        <v>169</v>
      </c>
      <c r="Q159">
        <v>1000</v>
      </c>
      <c r="W159">
        <v>0</v>
      </c>
      <c r="X159">
        <v>-213032344</v>
      </c>
      <c r="Y159">
        <v>0.01</v>
      </c>
      <c r="AA159">
        <v>680.16</v>
      </c>
      <c r="AB159">
        <v>0</v>
      </c>
      <c r="AC159">
        <v>0</v>
      </c>
      <c r="AD159">
        <v>0</v>
      </c>
      <c r="AE159">
        <v>680.16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0.01</v>
      </c>
      <c r="AU159" t="s">
        <v>3</v>
      </c>
      <c r="AV159">
        <v>0</v>
      </c>
      <c r="AW159">
        <v>2</v>
      </c>
      <c r="AX159">
        <v>42358340</v>
      </c>
      <c r="AY159">
        <v>1</v>
      </c>
      <c r="AZ159">
        <v>0</v>
      </c>
      <c r="BA159">
        <v>162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Y159*Source!I284</f>
        <v>2.7700000000000001E-4</v>
      </c>
      <c r="CY159">
        <f t="shared" si="27"/>
        <v>680.16</v>
      </c>
      <c r="CZ159">
        <f t="shared" si="28"/>
        <v>680.16</v>
      </c>
      <c r="DA159">
        <f t="shared" si="29"/>
        <v>1</v>
      </c>
      <c r="DB159">
        <f t="shared" si="30"/>
        <v>6.8</v>
      </c>
      <c r="DC159">
        <f t="shared" si="31"/>
        <v>0</v>
      </c>
    </row>
    <row r="160" spans="1:107" x14ac:dyDescent="0.2">
      <c r="A160">
        <f>ROW(Source!A284)</f>
        <v>284</v>
      </c>
      <c r="B160">
        <v>39201625</v>
      </c>
      <c r="C160">
        <v>42358311</v>
      </c>
      <c r="D160">
        <v>26608102</v>
      </c>
      <c r="E160">
        <v>1</v>
      </c>
      <c r="F160">
        <v>1</v>
      </c>
      <c r="G160">
        <v>1</v>
      </c>
      <c r="H160">
        <v>3</v>
      </c>
      <c r="I160" t="s">
        <v>408</v>
      </c>
      <c r="J160" t="s">
        <v>409</v>
      </c>
      <c r="K160" t="s">
        <v>410</v>
      </c>
      <c r="L160">
        <v>1339</v>
      </c>
      <c r="N160">
        <v>1007</v>
      </c>
      <c r="O160" t="s">
        <v>130</v>
      </c>
      <c r="P160" t="s">
        <v>130</v>
      </c>
      <c r="Q160">
        <v>1</v>
      </c>
      <c r="W160">
        <v>0</v>
      </c>
      <c r="X160">
        <v>-1025641989</v>
      </c>
      <c r="Y160">
        <v>0.73</v>
      </c>
      <c r="AA160">
        <v>2.2599999999999998</v>
      </c>
      <c r="AB160">
        <v>0</v>
      </c>
      <c r="AC160">
        <v>0</v>
      </c>
      <c r="AD160">
        <v>0</v>
      </c>
      <c r="AE160">
        <v>2.2599999999999998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0.73</v>
      </c>
      <c r="AU160" t="s">
        <v>3</v>
      </c>
      <c r="AV160">
        <v>0</v>
      </c>
      <c r="AW160">
        <v>2</v>
      </c>
      <c r="AX160">
        <v>42358341</v>
      </c>
      <c r="AY160">
        <v>1</v>
      </c>
      <c r="AZ160">
        <v>0</v>
      </c>
      <c r="BA160">
        <v>163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Y160*Source!I284</f>
        <v>2.0220999999999999E-2</v>
      </c>
      <c r="CY160">
        <f t="shared" si="27"/>
        <v>2.2599999999999998</v>
      </c>
      <c r="CZ160">
        <f t="shared" si="28"/>
        <v>2.2599999999999998</v>
      </c>
      <c r="DA160">
        <f t="shared" si="29"/>
        <v>1</v>
      </c>
      <c r="DB160">
        <f t="shared" si="30"/>
        <v>1.65</v>
      </c>
      <c r="DC160">
        <f t="shared" si="31"/>
        <v>0</v>
      </c>
    </row>
    <row r="161" spans="1:107" x14ac:dyDescent="0.2">
      <c r="A161">
        <f>ROW(Source!A285)</f>
        <v>285</v>
      </c>
      <c r="B161">
        <v>39201625</v>
      </c>
      <c r="C161">
        <v>42358342</v>
      </c>
      <c r="D161">
        <v>24225471</v>
      </c>
      <c r="E161">
        <v>1</v>
      </c>
      <c r="F161">
        <v>1</v>
      </c>
      <c r="G161">
        <v>1</v>
      </c>
      <c r="H161">
        <v>1</v>
      </c>
      <c r="I161" t="s">
        <v>537</v>
      </c>
      <c r="J161" t="s">
        <v>3</v>
      </c>
      <c r="K161" t="s">
        <v>538</v>
      </c>
      <c r="L161">
        <v>1476</v>
      </c>
      <c r="N161">
        <v>1013</v>
      </c>
      <c r="O161" t="s">
        <v>380</v>
      </c>
      <c r="P161" t="s">
        <v>381</v>
      </c>
      <c r="Q161">
        <v>1</v>
      </c>
      <c r="W161">
        <v>0</v>
      </c>
      <c r="X161">
        <v>842368670</v>
      </c>
      <c r="Y161">
        <v>14.536</v>
      </c>
      <c r="AA161">
        <v>0</v>
      </c>
      <c r="AB161">
        <v>0</v>
      </c>
      <c r="AC161">
        <v>0</v>
      </c>
      <c r="AD161">
        <v>7.21</v>
      </c>
      <c r="AE161">
        <v>0</v>
      </c>
      <c r="AF161">
        <v>0</v>
      </c>
      <c r="AG161">
        <v>0</v>
      </c>
      <c r="AH161">
        <v>7.21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12.64</v>
      </c>
      <c r="AU161" t="s">
        <v>13</v>
      </c>
      <c r="AV161">
        <v>1</v>
      </c>
      <c r="AW161">
        <v>2</v>
      </c>
      <c r="AX161">
        <v>42358349</v>
      </c>
      <c r="AY161">
        <v>1</v>
      </c>
      <c r="AZ161">
        <v>0</v>
      </c>
      <c r="BA161">
        <v>164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Y161*Source!I285</f>
        <v>0.79947999999999997</v>
      </c>
      <c r="CY161">
        <f>AD161</f>
        <v>7.21</v>
      </c>
      <c r="CZ161">
        <f>AH161</f>
        <v>7.21</v>
      </c>
      <c r="DA161">
        <f>AL161</f>
        <v>1</v>
      </c>
      <c r="DB161">
        <f>ROUND((ROUND(AT161*CZ161,2)*1.15),2)</f>
        <v>104.8</v>
      </c>
      <c r="DC161">
        <f>ROUND((ROUND(AT161*AG161,2)*1.15),2)</f>
        <v>0</v>
      </c>
    </row>
    <row r="162" spans="1:107" x14ac:dyDescent="0.2">
      <c r="A162">
        <f>ROW(Source!A285)</f>
        <v>285</v>
      </c>
      <c r="B162">
        <v>39201625</v>
      </c>
      <c r="C162">
        <v>42358342</v>
      </c>
      <c r="D162">
        <v>121548</v>
      </c>
      <c r="E162">
        <v>1</v>
      </c>
      <c r="F162">
        <v>1</v>
      </c>
      <c r="G162">
        <v>1</v>
      </c>
      <c r="H162">
        <v>1</v>
      </c>
      <c r="I162" t="s">
        <v>26</v>
      </c>
      <c r="J162" t="s">
        <v>3</v>
      </c>
      <c r="K162" t="s">
        <v>382</v>
      </c>
      <c r="L162">
        <v>608254</v>
      </c>
      <c r="N162">
        <v>1013</v>
      </c>
      <c r="O162" t="s">
        <v>383</v>
      </c>
      <c r="P162" t="s">
        <v>383</v>
      </c>
      <c r="Q162">
        <v>1</v>
      </c>
      <c r="W162">
        <v>0</v>
      </c>
      <c r="X162">
        <v>-185737400</v>
      </c>
      <c r="Y162">
        <v>0.2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0.16</v>
      </c>
      <c r="AU162" t="s">
        <v>12</v>
      </c>
      <c r="AV162">
        <v>2</v>
      </c>
      <c r="AW162">
        <v>2</v>
      </c>
      <c r="AX162">
        <v>42358350</v>
      </c>
      <c r="AY162">
        <v>1</v>
      </c>
      <c r="AZ162">
        <v>0</v>
      </c>
      <c r="BA162">
        <v>165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Y162*Source!I285</f>
        <v>1.1000000000000001E-2</v>
      </c>
      <c r="CY162">
        <f>AD162</f>
        <v>0</v>
      </c>
      <c r="CZ162">
        <f>AH162</f>
        <v>0</v>
      </c>
      <c r="DA162">
        <f>AL162</f>
        <v>1</v>
      </c>
      <c r="DB162">
        <f>ROUND((ROUND(AT162*CZ162,2)*1.25),2)</f>
        <v>0</v>
      </c>
      <c r="DC162">
        <f>ROUND((ROUND(AT162*AG162,2)*1.25),2)</f>
        <v>0</v>
      </c>
    </row>
    <row r="163" spans="1:107" x14ac:dyDescent="0.2">
      <c r="A163">
        <f>ROW(Source!A285)</f>
        <v>285</v>
      </c>
      <c r="B163">
        <v>39201625</v>
      </c>
      <c r="C163">
        <v>42358342</v>
      </c>
      <c r="D163">
        <v>26553813</v>
      </c>
      <c r="E163">
        <v>1</v>
      </c>
      <c r="F163">
        <v>1</v>
      </c>
      <c r="G163">
        <v>1</v>
      </c>
      <c r="H163">
        <v>2</v>
      </c>
      <c r="I163" t="s">
        <v>446</v>
      </c>
      <c r="J163" t="s">
        <v>447</v>
      </c>
      <c r="K163" t="s">
        <v>448</v>
      </c>
      <c r="L163">
        <v>26553684</v>
      </c>
      <c r="N163">
        <v>1013</v>
      </c>
      <c r="O163" t="s">
        <v>387</v>
      </c>
      <c r="P163" t="s">
        <v>387</v>
      </c>
      <c r="Q163">
        <v>1</v>
      </c>
      <c r="W163">
        <v>0</v>
      </c>
      <c r="X163">
        <v>79867837</v>
      </c>
      <c r="Y163">
        <v>0.2</v>
      </c>
      <c r="AA163">
        <v>0</v>
      </c>
      <c r="AB163">
        <v>111.75</v>
      </c>
      <c r="AC163">
        <v>13.26</v>
      </c>
      <c r="AD163">
        <v>0</v>
      </c>
      <c r="AE163">
        <v>0</v>
      </c>
      <c r="AF163">
        <v>111.75</v>
      </c>
      <c r="AG163">
        <v>13.26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0.16</v>
      </c>
      <c r="AU163" t="s">
        <v>12</v>
      </c>
      <c r="AV163">
        <v>0</v>
      </c>
      <c r="AW163">
        <v>2</v>
      </c>
      <c r="AX163">
        <v>42358351</v>
      </c>
      <c r="AY163">
        <v>1</v>
      </c>
      <c r="AZ163">
        <v>0</v>
      </c>
      <c r="BA163">
        <v>166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Y163*Source!I285</f>
        <v>1.1000000000000001E-2</v>
      </c>
      <c r="CY163">
        <f>AB163</f>
        <v>111.75</v>
      </c>
      <c r="CZ163">
        <f>AF163</f>
        <v>111.75</v>
      </c>
      <c r="DA163">
        <f>AJ163</f>
        <v>1</v>
      </c>
      <c r="DB163">
        <f>ROUND((ROUND(AT163*CZ163,2)*1.25),2)</f>
        <v>22.35</v>
      </c>
      <c r="DC163">
        <f>ROUND((ROUND(AT163*AG163,2)*1.25),2)</f>
        <v>2.65</v>
      </c>
    </row>
    <row r="164" spans="1:107" x14ac:dyDescent="0.2">
      <c r="A164">
        <f>ROW(Source!A285)</f>
        <v>285</v>
      </c>
      <c r="B164">
        <v>39201625</v>
      </c>
      <c r="C164">
        <v>42358342</v>
      </c>
      <c r="D164">
        <v>26555822</v>
      </c>
      <c r="E164">
        <v>1</v>
      </c>
      <c r="F164">
        <v>1</v>
      </c>
      <c r="G164">
        <v>1</v>
      </c>
      <c r="H164">
        <v>2</v>
      </c>
      <c r="I164" t="s">
        <v>461</v>
      </c>
      <c r="J164" t="s">
        <v>462</v>
      </c>
      <c r="K164" t="s">
        <v>463</v>
      </c>
      <c r="L164">
        <v>26553684</v>
      </c>
      <c r="N164">
        <v>1013</v>
      </c>
      <c r="O164" t="s">
        <v>387</v>
      </c>
      <c r="P164" t="s">
        <v>387</v>
      </c>
      <c r="Q164">
        <v>1</v>
      </c>
      <c r="W164">
        <v>0</v>
      </c>
      <c r="X164">
        <v>210745813</v>
      </c>
      <c r="Y164">
        <v>0.27500000000000002</v>
      </c>
      <c r="AA164">
        <v>0</v>
      </c>
      <c r="AB164">
        <v>86.55</v>
      </c>
      <c r="AC164">
        <v>0</v>
      </c>
      <c r="AD164">
        <v>0</v>
      </c>
      <c r="AE164">
        <v>0</v>
      </c>
      <c r="AF164">
        <v>86.55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0.22</v>
      </c>
      <c r="AU164" t="s">
        <v>12</v>
      </c>
      <c r="AV164">
        <v>0</v>
      </c>
      <c r="AW164">
        <v>2</v>
      </c>
      <c r="AX164">
        <v>42358352</v>
      </c>
      <c r="AY164">
        <v>1</v>
      </c>
      <c r="AZ164">
        <v>0</v>
      </c>
      <c r="BA164">
        <v>167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Y164*Source!I285</f>
        <v>1.5125000000000001E-2</v>
      </c>
      <c r="CY164">
        <f>AB164</f>
        <v>86.55</v>
      </c>
      <c r="CZ164">
        <f>AF164</f>
        <v>86.55</v>
      </c>
      <c r="DA164">
        <f>AJ164</f>
        <v>1</v>
      </c>
      <c r="DB164">
        <f>ROUND((ROUND(AT164*CZ164,2)*1.25),2)</f>
        <v>23.8</v>
      </c>
      <c r="DC164">
        <f>ROUND((ROUND(AT164*AG164,2)*1.25),2)</f>
        <v>0</v>
      </c>
    </row>
    <row r="165" spans="1:107" x14ac:dyDescent="0.2">
      <c r="A165">
        <f>ROW(Source!A285)</f>
        <v>285</v>
      </c>
      <c r="B165">
        <v>39201625</v>
      </c>
      <c r="C165">
        <v>42358342</v>
      </c>
      <c r="D165">
        <v>26557726</v>
      </c>
      <c r="E165">
        <v>1</v>
      </c>
      <c r="F165">
        <v>1</v>
      </c>
      <c r="G165">
        <v>1</v>
      </c>
      <c r="H165">
        <v>3</v>
      </c>
      <c r="I165" t="s">
        <v>539</v>
      </c>
      <c r="J165" t="s">
        <v>540</v>
      </c>
      <c r="K165" t="s">
        <v>541</v>
      </c>
      <c r="L165">
        <v>1348</v>
      </c>
      <c r="N165">
        <v>1009</v>
      </c>
      <c r="O165" t="s">
        <v>169</v>
      </c>
      <c r="P165" t="s">
        <v>169</v>
      </c>
      <c r="Q165">
        <v>1000</v>
      </c>
      <c r="W165">
        <v>0</v>
      </c>
      <c r="X165">
        <v>-439679864</v>
      </c>
      <c r="Y165">
        <v>2.8000000000000001E-2</v>
      </c>
      <c r="AA165">
        <v>9240.19</v>
      </c>
      <c r="AB165">
        <v>0</v>
      </c>
      <c r="AC165">
        <v>0</v>
      </c>
      <c r="AD165">
        <v>0</v>
      </c>
      <c r="AE165">
        <v>9240.19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2.8000000000000001E-2</v>
      </c>
      <c r="AU165" t="s">
        <v>3</v>
      </c>
      <c r="AV165">
        <v>0</v>
      </c>
      <c r="AW165">
        <v>2</v>
      </c>
      <c r="AX165">
        <v>42358353</v>
      </c>
      <c r="AY165">
        <v>1</v>
      </c>
      <c r="AZ165">
        <v>0</v>
      </c>
      <c r="BA165">
        <v>168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Y165*Source!I285</f>
        <v>1.5400000000000001E-3</v>
      </c>
      <c r="CY165">
        <f>AA165</f>
        <v>9240.19</v>
      </c>
      <c r="CZ165">
        <f>AE165</f>
        <v>9240.19</v>
      </c>
      <c r="DA165">
        <f>AI165</f>
        <v>1</v>
      </c>
      <c r="DB165">
        <f>ROUND(ROUND(AT165*CZ165,2),2)</f>
        <v>258.73</v>
      </c>
      <c r="DC165">
        <f>ROUND(ROUND(AT165*AG165,2),2)</f>
        <v>0</v>
      </c>
    </row>
    <row r="166" spans="1:107" x14ac:dyDescent="0.2">
      <c r="A166">
        <f>ROW(Source!A285)</f>
        <v>285</v>
      </c>
      <c r="B166">
        <v>39201625</v>
      </c>
      <c r="C166">
        <v>42358342</v>
      </c>
      <c r="D166">
        <v>26582644</v>
      </c>
      <c r="E166">
        <v>1</v>
      </c>
      <c r="F166">
        <v>1</v>
      </c>
      <c r="G166">
        <v>1</v>
      </c>
      <c r="H166">
        <v>3</v>
      </c>
      <c r="I166" t="s">
        <v>542</v>
      </c>
      <c r="J166" t="s">
        <v>543</v>
      </c>
      <c r="K166" t="s">
        <v>544</v>
      </c>
      <c r="L166">
        <v>1348</v>
      </c>
      <c r="N166">
        <v>1009</v>
      </c>
      <c r="O166" t="s">
        <v>169</v>
      </c>
      <c r="P166" t="s">
        <v>169</v>
      </c>
      <c r="Q166">
        <v>1000</v>
      </c>
      <c r="W166">
        <v>0</v>
      </c>
      <c r="X166">
        <v>1398416502</v>
      </c>
      <c r="Y166">
        <v>1</v>
      </c>
      <c r="AA166">
        <v>5272.44</v>
      </c>
      <c r="AB166">
        <v>0</v>
      </c>
      <c r="AC166">
        <v>0</v>
      </c>
      <c r="AD166">
        <v>0</v>
      </c>
      <c r="AE166">
        <v>5272.44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1</v>
      </c>
      <c r="AU166" t="s">
        <v>3</v>
      </c>
      <c r="AV166">
        <v>0</v>
      </c>
      <c r="AW166">
        <v>2</v>
      </c>
      <c r="AX166">
        <v>42358354</v>
      </c>
      <c r="AY166">
        <v>1</v>
      </c>
      <c r="AZ166">
        <v>0</v>
      </c>
      <c r="BA166">
        <v>169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Y166*Source!I285</f>
        <v>5.5E-2</v>
      </c>
      <c r="CY166">
        <f>AA166</f>
        <v>5272.44</v>
      </c>
      <c r="CZ166">
        <f>AE166</f>
        <v>5272.44</v>
      </c>
      <c r="DA166">
        <f>AI166</f>
        <v>1</v>
      </c>
      <c r="DB166">
        <f>ROUND(ROUND(AT166*CZ166,2),2)</f>
        <v>5272.44</v>
      </c>
      <c r="DC166">
        <f>ROUND(ROUND(AT166*AG166,2),2)</f>
        <v>0</v>
      </c>
    </row>
    <row r="167" spans="1:107" x14ac:dyDescent="0.2">
      <c r="A167">
        <f>ROW(Source!A286)</f>
        <v>286</v>
      </c>
      <c r="B167">
        <v>39201625</v>
      </c>
      <c r="C167">
        <v>42358355</v>
      </c>
      <c r="D167">
        <v>24225554</v>
      </c>
      <c r="E167">
        <v>1</v>
      </c>
      <c r="F167">
        <v>1</v>
      </c>
      <c r="G167">
        <v>1</v>
      </c>
      <c r="H167">
        <v>1</v>
      </c>
      <c r="I167" t="s">
        <v>506</v>
      </c>
      <c r="J167" t="s">
        <v>3</v>
      </c>
      <c r="K167" t="s">
        <v>507</v>
      </c>
      <c r="L167">
        <v>1476</v>
      </c>
      <c r="N167">
        <v>1013</v>
      </c>
      <c r="O167" t="s">
        <v>380</v>
      </c>
      <c r="P167" t="s">
        <v>381</v>
      </c>
      <c r="Q167">
        <v>1</v>
      </c>
      <c r="W167">
        <v>0</v>
      </c>
      <c r="X167">
        <v>421273387</v>
      </c>
      <c r="Y167">
        <v>50.657499999999992</v>
      </c>
      <c r="AA167">
        <v>0</v>
      </c>
      <c r="AB167">
        <v>0</v>
      </c>
      <c r="AC167">
        <v>0</v>
      </c>
      <c r="AD167">
        <v>6.94</v>
      </c>
      <c r="AE167">
        <v>0</v>
      </c>
      <c r="AF167">
        <v>0</v>
      </c>
      <c r="AG167">
        <v>0</v>
      </c>
      <c r="AH167">
        <v>6.94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44.05</v>
      </c>
      <c r="AU167" t="s">
        <v>13</v>
      </c>
      <c r="AV167">
        <v>1</v>
      </c>
      <c r="AW167">
        <v>2</v>
      </c>
      <c r="AX167">
        <v>42358364</v>
      </c>
      <c r="AY167">
        <v>1</v>
      </c>
      <c r="AZ167">
        <v>0</v>
      </c>
      <c r="BA167">
        <v>170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Y167*Source!I286</f>
        <v>8.1051999999999982</v>
      </c>
      <c r="CY167">
        <f>AD167</f>
        <v>6.94</v>
      </c>
      <c r="CZ167">
        <f>AH167</f>
        <v>6.94</v>
      </c>
      <c r="DA167">
        <f>AL167</f>
        <v>1</v>
      </c>
      <c r="DB167">
        <f>ROUND((ROUND(AT167*CZ167,2)*1.15),2)</f>
        <v>351.57</v>
      </c>
      <c r="DC167">
        <f>ROUND((ROUND(AT167*AG167,2)*1.15),2)</f>
        <v>0</v>
      </c>
    </row>
    <row r="168" spans="1:107" x14ac:dyDescent="0.2">
      <c r="A168">
        <f>ROW(Source!A286)</f>
        <v>286</v>
      </c>
      <c r="B168">
        <v>39201625</v>
      </c>
      <c r="C168">
        <v>42358355</v>
      </c>
      <c r="D168">
        <v>121548</v>
      </c>
      <c r="E168">
        <v>1</v>
      </c>
      <c r="F168">
        <v>1</v>
      </c>
      <c r="G168">
        <v>1</v>
      </c>
      <c r="H168">
        <v>1</v>
      </c>
      <c r="I168" t="s">
        <v>26</v>
      </c>
      <c r="J168" t="s">
        <v>3</v>
      </c>
      <c r="K168" t="s">
        <v>382</v>
      </c>
      <c r="L168">
        <v>608254</v>
      </c>
      <c r="N168">
        <v>1013</v>
      </c>
      <c r="O168" t="s">
        <v>383</v>
      </c>
      <c r="P168" t="s">
        <v>383</v>
      </c>
      <c r="Q168">
        <v>1</v>
      </c>
      <c r="W168">
        <v>0</v>
      </c>
      <c r="X168">
        <v>-185737400</v>
      </c>
      <c r="Y168">
        <v>35.25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28.2</v>
      </c>
      <c r="AU168" t="s">
        <v>12</v>
      </c>
      <c r="AV168">
        <v>2</v>
      </c>
      <c r="AW168">
        <v>2</v>
      </c>
      <c r="AX168">
        <v>42358365</v>
      </c>
      <c r="AY168">
        <v>1</v>
      </c>
      <c r="AZ168">
        <v>0</v>
      </c>
      <c r="BA168">
        <v>171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Y168*Source!I286</f>
        <v>5.64</v>
      </c>
      <c r="CY168">
        <f>AD168</f>
        <v>0</v>
      </c>
      <c r="CZ168">
        <f>AH168</f>
        <v>0</v>
      </c>
      <c r="DA168">
        <f>AL168</f>
        <v>1</v>
      </c>
      <c r="DB168">
        <f>ROUND((ROUND(AT168*CZ168,2)*1.25),2)</f>
        <v>0</v>
      </c>
      <c r="DC168">
        <f>ROUND((ROUND(AT168*AG168,2)*1.25),2)</f>
        <v>0</v>
      </c>
    </row>
    <row r="169" spans="1:107" x14ac:dyDescent="0.2">
      <c r="A169">
        <f>ROW(Source!A286)</f>
        <v>286</v>
      </c>
      <c r="B169">
        <v>39201625</v>
      </c>
      <c r="C169">
        <v>42358355</v>
      </c>
      <c r="D169">
        <v>26554003</v>
      </c>
      <c r="E169">
        <v>1</v>
      </c>
      <c r="F169">
        <v>1</v>
      </c>
      <c r="G169">
        <v>1</v>
      </c>
      <c r="H169">
        <v>2</v>
      </c>
      <c r="I169" t="s">
        <v>508</v>
      </c>
      <c r="J169" t="s">
        <v>509</v>
      </c>
      <c r="K169" t="s">
        <v>510</v>
      </c>
      <c r="L169">
        <v>26553684</v>
      </c>
      <c r="N169">
        <v>1013</v>
      </c>
      <c r="O169" t="s">
        <v>387</v>
      </c>
      <c r="P169" t="s">
        <v>387</v>
      </c>
      <c r="Q169">
        <v>1</v>
      </c>
      <c r="W169">
        <v>0</v>
      </c>
      <c r="X169">
        <v>-2011679798</v>
      </c>
      <c r="Y169">
        <v>35.25</v>
      </c>
      <c r="AA169">
        <v>0</v>
      </c>
      <c r="AB169">
        <v>22.07</v>
      </c>
      <c r="AC169">
        <v>11.38</v>
      </c>
      <c r="AD169">
        <v>0</v>
      </c>
      <c r="AE169">
        <v>0</v>
      </c>
      <c r="AF169">
        <v>22.07</v>
      </c>
      <c r="AG169">
        <v>11.38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28.2</v>
      </c>
      <c r="AU169" t="s">
        <v>12</v>
      </c>
      <c r="AV169">
        <v>0</v>
      </c>
      <c r="AW169">
        <v>2</v>
      </c>
      <c r="AX169">
        <v>42358366</v>
      </c>
      <c r="AY169">
        <v>1</v>
      </c>
      <c r="AZ169">
        <v>0</v>
      </c>
      <c r="BA169">
        <v>172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Y169*Source!I286</f>
        <v>5.64</v>
      </c>
      <c r="CY169">
        <f>AB169</f>
        <v>22.07</v>
      </c>
      <c r="CZ169">
        <f>AF169</f>
        <v>22.07</v>
      </c>
      <c r="DA169">
        <f>AJ169</f>
        <v>1</v>
      </c>
      <c r="DB169">
        <f>ROUND((ROUND(AT169*CZ169,2)*1.25),2)</f>
        <v>777.96</v>
      </c>
      <c r="DC169">
        <f>ROUND((ROUND(AT169*AG169,2)*1.25),2)</f>
        <v>401.15</v>
      </c>
    </row>
    <row r="170" spans="1:107" x14ac:dyDescent="0.2">
      <c r="A170">
        <f>ROW(Source!A286)</f>
        <v>286</v>
      </c>
      <c r="B170">
        <v>39201625</v>
      </c>
      <c r="C170">
        <v>42358355</v>
      </c>
      <c r="D170">
        <v>26555500</v>
      </c>
      <c r="E170">
        <v>1</v>
      </c>
      <c r="F170">
        <v>1</v>
      </c>
      <c r="G170">
        <v>1</v>
      </c>
      <c r="H170">
        <v>2</v>
      </c>
      <c r="I170" t="s">
        <v>514</v>
      </c>
      <c r="J170" t="s">
        <v>515</v>
      </c>
      <c r="K170" t="s">
        <v>516</v>
      </c>
      <c r="L170">
        <v>26553684</v>
      </c>
      <c r="N170">
        <v>1013</v>
      </c>
      <c r="O170" t="s">
        <v>387</v>
      </c>
      <c r="P170" t="s">
        <v>387</v>
      </c>
      <c r="Q170">
        <v>1</v>
      </c>
      <c r="W170">
        <v>0</v>
      </c>
      <c r="X170">
        <v>-986917855</v>
      </c>
      <c r="Y170">
        <v>19.787500000000001</v>
      </c>
      <c r="AA170">
        <v>0</v>
      </c>
      <c r="AB170">
        <v>26.26</v>
      </c>
      <c r="AC170">
        <v>0</v>
      </c>
      <c r="AD170">
        <v>0</v>
      </c>
      <c r="AE170">
        <v>0</v>
      </c>
      <c r="AF170">
        <v>26.26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15.83</v>
      </c>
      <c r="AU170" t="s">
        <v>12</v>
      </c>
      <c r="AV170">
        <v>0</v>
      </c>
      <c r="AW170">
        <v>2</v>
      </c>
      <c r="AX170">
        <v>42358367</v>
      </c>
      <c r="AY170">
        <v>1</v>
      </c>
      <c r="AZ170">
        <v>0</v>
      </c>
      <c r="BA170">
        <v>173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Y170*Source!I286</f>
        <v>3.1660000000000004</v>
      </c>
      <c r="CY170">
        <f>AB170</f>
        <v>26.26</v>
      </c>
      <c r="CZ170">
        <f>AF170</f>
        <v>26.26</v>
      </c>
      <c r="DA170">
        <f>AJ170</f>
        <v>1</v>
      </c>
      <c r="DB170">
        <f>ROUND((ROUND(AT170*CZ170,2)*1.25),2)</f>
        <v>519.63</v>
      </c>
      <c r="DC170">
        <f>ROUND((ROUND(AT170*AG170,2)*1.25),2)</f>
        <v>0</v>
      </c>
    </row>
    <row r="171" spans="1:107" x14ac:dyDescent="0.2">
      <c r="A171">
        <f>ROW(Source!A286)</f>
        <v>286</v>
      </c>
      <c r="B171">
        <v>39201625</v>
      </c>
      <c r="C171">
        <v>42358355</v>
      </c>
      <c r="D171">
        <v>26555589</v>
      </c>
      <c r="E171">
        <v>1</v>
      </c>
      <c r="F171">
        <v>1</v>
      </c>
      <c r="G171">
        <v>1</v>
      </c>
      <c r="H171">
        <v>2</v>
      </c>
      <c r="I171" t="s">
        <v>511</v>
      </c>
      <c r="J171" t="s">
        <v>512</v>
      </c>
      <c r="K171" t="s">
        <v>513</v>
      </c>
      <c r="L171">
        <v>26553684</v>
      </c>
      <c r="N171">
        <v>1013</v>
      </c>
      <c r="O171" t="s">
        <v>387</v>
      </c>
      <c r="P171" t="s">
        <v>387</v>
      </c>
      <c r="Q171">
        <v>1</v>
      </c>
      <c r="W171">
        <v>0</v>
      </c>
      <c r="X171">
        <v>1858496602</v>
      </c>
      <c r="Y171">
        <v>15.5</v>
      </c>
      <c r="AA171">
        <v>0</v>
      </c>
      <c r="AB171">
        <v>1.05</v>
      </c>
      <c r="AC171">
        <v>0</v>
      </c>
      <c r="AD171">
        <v>0</v>
      </c>
      <c r="AE171">
        <v>0</v>
      </c>
      <c r="AF171">
        <v>1.05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12.4</v>
      </c>
      <c r="AU171" t="s">
        <v>12</v>
      </c>
      <c r="AV171">
        <v>0</v>
      </c>
      <c r="AW171">
        <v>2</v>
      </c>
      <c r="AX171">
        <v>42358368</v>
      </c>
      <c r="AY171">
        <v>1</v>
      </c>
      <c r="AZ171">
        <v>0</v>
      </c>
      <c r="BA171">
        <v>174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Y171*Source!I286</f>
        <v>2.48</v>
      </c>
      <c r="CY171">
        <f>AB171</f>
        <v>1.05</v>
      </c>
      <c r="CZ171">
        <f>AF171</f>
        <v>1.05</v>
      </c>
      <c r="DA171">
        <f>AJ171</f>
        <v>1</v>
      </c>
      <c r="DB171">
        <f>ROUND((ROUND(AT171*CZ171,2)*1.25),2)</f>
        <v>16.28</v>
      </c>
      <c r="DC171">
        <f>ROUND((ROUND(AT171*AG171,2)*1.25),2)</f>
        <v>0</v>
      </c>
    </row>
    <row r="172" spans="1:107" x14ac:dyDescent="0.2">
      <c r="A172">
        <f>ROW(Source!A286)</f>
        <v>286</v>
      </c>
      <c r="B172">
        <v>39201625</v>
      </c>
      <c r="C172">
        <v>42358355</v>
      </c>
      <c r="D172">
        <v>26555822</v>
      </c>
      <c r="E172">
        <v>1</v>
      </c>
      <c r="F172">
        <v>1</v>
      </c>
      <c r="G172">
        <v>1</v>
      </c>
      <c r="H172">
        <v>2</v>
      </c>
      <c r="I172" t="s">
        <v>461</v>
      </c>
      <c r="J172" t="s">
        <v>462</v>
      </c>
      <c r="K172" t="s">
        <v>463</v>
      </c>
      <c r="L172">
        <v>26553684</v>
      </c>
      <c r="N172">
        <v>1013</v>
      </c>
      <c r="O172" t="s">
        <v>387</v>
      </c>
      <c r="P172" t="s">
        <v>387</v>
      </c>
      <c r="Q172">
        <v>1</v>
      </c>
      <c r="W172">
        <v>0</v>
      </c>
      <c r="X172">
        <v>210745813</v>
      </c>
      <c r="Y172">
        <v>1.9750000000000001</v>
      </c>
      <c r="AA172">
        <v>0</v>
      </c>
      <c r="AB172">
        <v>86.55</v>
      </c>
      <c r="AC172">
        <v>0</v>
      </c>
      <c r="AD172">
        <v>0</v>
      </c>
      <c r="AE172">
        <v>0</v>
      </c>
      <c r="AF172">
        <v>86.55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1.58</v>
      </c>
      <c r="AU172" t="s">
        <v>12</v>
      </c>
      <c r="AV172">
        <v>0</v>
      </c>
      <c r="AW172">
        <v>2</v>
      </c>
      <c r="AX172">
        <v>42358369</v>
      </c>
      <c r="AY172">
        <v>1</v>
      </c>
      <c r="AZ172">
        <v>0</v>
      </c>
      <c r="BA172">
        <v>175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Y172*Source!I286</f>
        <v>0.316</v>
      </c>
      <c r="CY172">
        <f>AB172</f>
        <v>86.55</v>
      </c>
      <c r="CZ172">
        <f>AF172</f>
        <v>86.55</v>
      </c>
      <c r="DA172">
        <f>AJ172</f>
        <v>1</v>
      </c>
      <c r="DB172">
        <f>ROUND((ROUND(AT172*CZ172,2)*1.25),2)</f>
        <v>170.94</v>
      </c>
      <c r="DC172">
        <f>ROUND((ROUND(AT172*AG172,2)*1.25),2)</f>
        <v>0</v>
      </c>
    </row>
    <row r="173" spans="1:107" x14ac:dyDescent="0.2">
      <c r="A173">
        <f>ROW(Source!A286)</f>
        <v>286</v>
      </c>
      <c r="B173">
        <v>39201625</v>
      </c>
      <c r="C173">
        <v>42358355</v>
      </c>
      <c r="D173">
        <v>26559033</v>
      </c>
      <c r="E173">
        <v>1</v>
      </c>
      <c r="F173">
        <v>1</v>
      </c>
      <c r="G173">
        <v>1</v>
      </c>
      <c r="H173">
        <v>3</v>
      </c>
      <c r="I173" t="s">
        <v>267</v>
      </c>
      <c r="J173" t="s">
        <v>269</v>
      </c>
      <c r="K173" t="s">
        <v>268</v>
      </c>
      <c r="L173">
        <v>1348</v>
      </c>
      <c r="N173">
        <v>1009</v>
      </c>
      <c r="O173" t="s">
        <v>169</v>
      </c>
      <c r="P173" t="s">
        <v>169</v>
      </c>
      <c r="Q173">
        <v>1000</v>
      </c>
      <c r="W173">
        <v>0</v>
      </c>
      <c r="X173">
        <v>1866978246</v>
      </c>
      <c r="Y173">
        <v>5.2999999999999999E-2</v>
      </c>
      <c r="AA173">
        <v>9291.35</v>
      </c>
      <c r="AB173">
        <v>0</v>
      </c>
      <c r="AC173">
        <v>0</v>
      </c>
      <c r="AD173">
        <v>0</v>
      </c>
      <c r="AE173">
        <v>9291.35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1</v>
      </c>
      <c r="AO173">
        <v>0</v>
      </c>
      <c r="AP173">
        <v>0</v>
      </c>
      <c r="AQ173">
        <v>0</v>
      </c>
      <c r="AR173">
        <v>0</v>
      </c>
      <c r="AS173" t="s">
        <v>3</v>
      </c>
      <c r="AT173">
        <v>5.2999999999999999E-2</v>
      </c>
      <c r="AU173" t="s">
        <v>3</v>
      </c>
      <c r="AV173">
        <v>0</v>
      </c>
      <c r="AW173">
        <v>1</v>
      </c>
      <c r="AX173">
        <v>-1</v>
      </c>
      <c r="AY173">
        <v>0</v>
      </c>
      <c r="AZ173">
        <v>0</v>
      </c>
      <c r="BA173" t="s">
        <v>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Y173*Source!I286</f>
        <v>8.4799999999999997E-3</v>
      </c>
      <c r="CY173">
        <f>AA173</f>
        <v>9291.35</v>
      </c>
      <c r="CZ173">
        <f>AE173</f>
        <v>9291.35</v>
      </c>
      <c r="DA173">
        <f>AI173</f>
        <v>1</v>
      </c>
      <c r="DB173">
        <f>ROUND(ROUND(AT173*CZ173,2),2)</f>
        <v>492.44</v>
      </c>
      <c r="DC173">
        <f>ROUND(ROUND(AT173*AG173,2),2)</f>
        <v>0</v>
      </c>
    </row>
    <row r="174" spans="1:107" x14ac:dyDescent="0.2">
      <c r="A174">
        <f>ROW(Source!A286)</f>
        <v>286</v>
      </c>
      <c r="B174">
        <v>39201625</v>
      </c>
      <c r="C174">
        <v>42358355</v>
      </c>
      <c r="D174">
        <v>26568001</v>
      </c>
      <c r="E174">
        <v>1</v>
      </c>
      <c r="F174">
        <v>1</v>
      </c>
      <c r="G174">
        <v>1</v>
      </c>
      <c r="H174">
        <v>3</v>
      </c>
      <c r="I174" t="s">
        <v>271</v>
      </c>
      <c r="J174" t="s">
        <v>274</v>
      </c>
      <c r="K174" t="s">
        <v>272</v>
      </c>
      <c r="L174">
        <v>1301</v>
      </c>
      <c r="N174">
        <v>1003</v>
      </c>
      <c r="O174" t="s">
        <v>273</v>
      </c>
      <c r="P174" t="s">
        <v>273</v>
      </c>
      <c r="Q174">
        <v>1</v>
      </c>
      <c r="W174">
        <v>0</v>
      </c>
      <c r="X174">
        <v>878622785</v>
      </c>
      <c r="Y174">
        <v>214.25</v>
      </c>
      <c r="AA174">
        <v>25.88</v>
      </c>
      <c r="AB174">
        <v>0</v>
      </c>
      <c r="AC174">
        <v>0</v>
      </c>
      <c r="AD174">
        <v>0</v>
      </c>
      <c r="AE174">
        <v>25.88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1</v>
      </c>
      <c r="AO174">
        <v>0</v>
      </c>
      <c r="AP174">
        <v>0</v>
      </c>
      <c r="AQ174">
        <v>0</v>
      </c>
      <c r="AR174">
        <v>0</v>
      </c>
      <c r="AS174" t="s">
        <v>3</v>
      </c>
      <c r="AT174">
        <v>214.25</v>
      </c>
      <c r="AU174" t="s">
        <v>3</v>
      </c>
      <c r="AV174">
        <v>0</v>
      </c>
      <c r="AW174">
        <v>1</v>
      </c>
      <c r="AX174">
        <v>-1</v>
      </c>
      <c r="AY174">
        <v>0</v>
      </c>
      <c r="AZ174">
        <v>0</v>
      </c>
      <c r="BA174" t="s">
        <v>3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Y174*Source!I286</f>
        <v>34.28</v>
      </c>
      <c r="CY174">
        <f>AA174</f>
        <v>25.88</v>
      </c>
      <c r="CZ174">
        <f>AE174</f>
        <v>25.88</v>
      </c>
      <c r="DA174">
        <f>AI174</f>
        <v>1</v>
      </c>
      <c r="DB174">
        <f>ROUND(ROUND(AT174*CZ174,2),2)</f>
        <v>5544.79</v>
      </c>
      <c r="DC174">
        <f>ROUND(ROUND(AT174*AG174,2),2)</f>
        <v>0</v>
      </c>
    </row>
    <row r="175" spans="1:107" x14ac:dyDescent="0.2">
      <c r="A175">
        <f>ROW(Source!A289)</f>
        <v>289</v>
      </c>
      <c r="B175">
        <v>39201625</v>
      </c>
      <c r="C175">
        <v>42358374</v>
      </c>
      <c r="D175">
        <v>24225554</v>
      </c>
      <c r="E175">
        <v>1</v>
      </c>
      <c r="F175">
        <v>1</v>
      </c>
      <c r="G175">
        <v>1</v>
      </c>
      <c r="H175">
        <v>1</v>
      </c>
      <c r="I175" t="s">
        <v>506</v>
      </c>
      <c r="J175" t="s">
        <v>3</v>
      </c>
      <c r="K175" t="s">
        <v>507</v>
      </c>
      <c r="L175">
        <v>1476</v>
      </c>
      <c r="N175">
        <v>1013</v>
      </c>
      <c r="O175" t="s">
        <v>380</v>
      </c>
      <c r="P175" t="s">
        <v>381</v>
      </c>
      <c r="Q175">
        <v>1</v>
      </c>
      <c r="W175">
        <v>0</v>
      </c>
      <c r="X175">
        <v>421273387</v>
      </c>
      <c r="Y175">
        <v>8.176499999999999</v>
      </c>
      <c r="AA175">
        <v>0</v>
      </c>
      <c r="AB175">
        <v>0</v>
      </c>
      <c r="AC175">
        <v>0</v>
      </c>
      <c r="AD175">
        <v>6.94</v>
      </c>
      <c r="AE175">
        <v>0</v>
      </c>
      <c r="AF175">
        <v>0</v>
      </c>
      <c r="AG175">
        <v>0</v>
      </c>
      <c r="AH175">
        <v>6.94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7.11</v>
      </c>
      <c r="AU175" t="s">
        <v>13</v>
      </c>
      <c r="AV175">
        <v>1</v>
      </c>
      <c r="AW175">
        <v>2</v>
      </c>
      <c r="AX175">
        <v>42358383</v>
      </c>
      <c r="AY175">
        <v>1</v>
      </c>
      <c r="AZ175">
        <v>0</v>
      </c>
      <c r="BA175">
        <v>178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Y175*Source!I289</f>
        <v>21.258899999999997</v>
      </c>
      <c r="CY175">
        <f>AD175</f>
        <v>6.94</v>
      </c>
      <c r="CZ175">
        <f>AH175</f>
        <v>6.94</v>
      </c>
      <c r="DA175">
        <f>AL175</f>
        <v>1</v>
      </c>
      <c r="DB175">
        <f>ROUND((ROUND(AT175*CZ175,2)*1.15),2)</f>
        <v>56.74</v>
      </c>
      <c r="DC175">
        <f>ROUND((ROUND(AT175*AG175,2)*1.15),2)</f>
        <v>0</v>
      </c>
    </row>
    <row r="176" spans="1:107" x14ac:dyDescent="0.2">
      <c r="A176">
        <f>ROW(Source!A289)</f>
        <v>289</v>
      </c>
      <c r="B176">
        <v>39201625</v>
      </c>
      <c r="C176">
        <v>42358374</v>
      </c>
      <c r="D176">
        <v>121548</v>
      </c>
      <c r="E176">
        <v>1</v>
      </c>
      <c r="F176">
        <v>1</v>
      </c>
      <c r="G176">
        <v>1</v>
      </c>
      <c r="H176">
        <v>1</v>
      </c>
      <c r="I176" t="s">
        <v>26</v>
      </c>
      <c r="J176" t="s">
        <v>3</v>
      </c>
      <c r="K176" t="s">
        <v>382</v>
      </c>
      <c r="L176">
        <v>608254</v>
      </c>
      <c r="N176">
        <v>1013</v>
      </c>
      <c r="O176" t="s">
        <v>383</v>
      </c>
      <c r="P176" t="s">
        <v>383</v>
      </c>
      <c r="Q176">
        <v>1</v>
      </c>
      <c r="W176">
        <v>0</v>
      </c>
      <c r="X176">
        <v>-185737400</v>
      </c>
      <c r="Y176">
        <v>0.71249999999999991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0.56999999999999995</v>
      </c>
      <c r="AU176" t="s">
        <v>12</v>
      </c>
      <c r="AV176">
        <v>2</v>
      </c>
      <c r="AW176">
        <v>2</v>
      </c>
      <c r="AX176">
        <v>42358384</v>
      </c>
      <c r="AY176">
        <v>1</v>
      </c>
      <c r="AZ176">
        <v>0</v>
      </c>
      <c r="BA176">
        <v>179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Y176*Source!I289</f>
        <v>1.8524999999999998</v>
      </c>
      <c r="CY176">
        <f>AD176</f>
        <v>0</v>
      </c>
      <c r="CZ176">
        <f>AH176</f>
        <v>0</v>
      </c>
      <c r="DA176">
        <f>AL176</f>
        <v>1</v>
      </c>
      <c r="DB176">
        <f>ROUND((ROUND(AT176*CZ176,2)*1.25),2)</f>
        <v>0</v>
      </c>
      <c r="DC176">
        <f>ROUND((ROUND(AT176*AG176,2)*1.25),2)</f>
        <v>0</v>
      </c>
    </row>
    <row r="177" spans="1:107" x14ac:dyDescent="0.2">
      <c r="A177">
        <f>ROW(Source!A289)</f>
        <v>289</v>
      </c>
      <c r="B177">
        <v>39201625</v>
      </c>
      <c r="C177">
        <v>42358374</v>
      </c>
      <c r="D177">
        <v>26554003</v>
      </c>
      <c r="E177">
        <v>1</v>
      </c>
      <c r="F177">
        <v>1</v>
      </c>
      <c r="G177">
        <v>1</v>
      </c>
      <c r="H177">
        <v>2</v>
      </c>
      <c r="I177" t="s">
        <v>508</v>
      </c>
      <c r="J177" t="s">
        <v>509</v>
      </c>
      <c r="K177" t="s">
        <v>510</v>
      </c>
      <c r="L177">
        <v>26553684</v>
      </c>
      <c r="N177">
        <v>1013</v>
      </c>
      <c r="O177" t="s">
        <v>387</v>
      </c>
      <c r="P177" t="s">
        <v>387</v>
      </c>
      <c r="Q177">
        <v>1</v>
      </c>
      <c r="W177">
        <v>0</v>
      </c>
      <c r="X177">
        <v>-2011679798</v>
      </c>
      <c r="Y177">
        <v>0.71249999999999991</v>
      </c>
      <c r="AA177">
        <v>0</v>
      </c>
      <c r="AB177">
        <v>22.07</v>
      </c>
      <c r="AC177">
        <v>11.38</v>
      </c>
      <c r="AD177">
        <v>0</v>
      </c>
      <c r="AE177">
        <v>0</v>
      </c>
      <c r="AF177">
        <v>22.07</v>
      </c>
      <c r="AG177">
        <v>11.38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0.56999999999999995</v>
      </c>
      <c r="AU177" t="s">
        <v>12</v>
      </c>
      <c r="AV177">
        <v>0</v>
      </c>
      <c r="AW177">
        <v>2</v>
      </c>
      <c r="AX177">
        <v>42358385</v>
      </c>
      <c r="AY177">
        <v>1</v>
      </c>
      <c r="AZ177">
        <v>0</v>
      </c>
      <c r="BA177">
        <v>180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Y177*Source!I289</f>
        <v>1.8524999999999998</v>
      </c>
      <c r="CY177">
        <f>AB177</f>
        <v>22.07</v>
      </c>
      <c r="CZ177">
        <f>AF177</f>
        <v>22.07</v>
      </c>
      <c r="DA177">
        <f>AJ177</f>
        <v>1</v>
      </c>
      <c r="DB177">
        <f>ROUND((ROUND(AT177*CZ177,2)*1.25),2)</f>
        <v>15.73</v>
      </c>
      <c r="DC177">
        <f>ROUND((ROUND(AT177*AG177,2)*1.25),2)</f>
        <v>8.11</v>
      </c>
    </row>
    <row r="178" spans="1:107" x14ac:dyDescent="0.2">
      <c r="A178">
        <f>ROW(Source!A289)</f>
        <v>289</v>
      </c>
      <c r="B178">
        <v>39201625</v>
      </c>
      <c r="C178">
        <v>42358374</v>
      </c>
      <c r="D178">
        <v>26555589</v>
      </c>
      <c r="E178">
        <v>1</v>
      </c>
      <c r="F178">
        <v>1</v>
      </c>
      <c r="G178">
        <v>1</v>
      </c>
      <c r="H178">
        <v>2</v>
      </c>
      <c r="I178" t="s">
        <v>511</v>
      </c>
      <c r="J178" t="s">
        <v>512</v>
      </c>
      <c r="K178" t="s">
        <v>513</v>
      </c>
      <c r="L178">
        <v>26553684</v>
      </c>
      <c r="N178">
        <v>1013</v>
      </c>
      <c r="O178" t="s">
        <v>387</v>
      </c>
      <c r="P178" t="s">
        <v>387</v>
      </c>
      <c r="Q178">
        <v>1</v>
      </c>
      <c r="W178">
        <v>0</v>
      </c>
      <c r="X178">
        <v>1858496602</v>
      </c>
      <c r="Y178">
        <v>0.71249999999999991</v>
      </c>
      <c r="AA178">
        <v>0</v>
      </c>
      <c r="AB178">
        <v>1.05</v>
      </c>
      <c r="AC178">
        <v>0</v>
      </c>
      <c r="AD178">
        <v>0</v>
      </c>
      <c r="AE178">
        <v>0</v>
      </c>
      <c r="AF178">
        <v>1.05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0.56999999999999995</v>
      </c>
      <c r="AU178" t="s">
        <v>12</v>
      </c>
      <c r="AV178">
        <v>0</v>
      </c>
      <c r="AW178">
        <v>2</v>
      </c>
      <c r="AX178">
        <v>42358386</v>
      </c>
      <c r="AY178">
        <v>1</v>
      </c>
      <c r="AZ178">
        <v>0</v>
      </c>
      <c r="BA178">
        <v>181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Y178*Source!I289</f>
        <v>1.8524999999999998</v>
      </c>
      <c r="CY178">
        <f>AB178</f>
        <v>1.05</v>
      </c>
      <c r="CZ178">
        <f>AF178</f>
        <v>1.05</v>
      </c>
      <c r="DA178">
        <f>AJ178</f>
        <v>1</v>
      </c>
      <c r="DB178">
        <f>ROUND((ROUND(AT178*CZ178,2)*1.25),2)</f>
        <v>0.75</v>
      </c>
      <c r="DC178">
        <f>ROUND((ROUND(AT178*AG178,2)*1.25),2)</f>
        <v>0</v>
      </c>
    </row>
    <row r="179" spans="1:107" x14ac:dyDescent="0.2">
      <c r="A179">
        <f>ROW(Source!A289)</f>
        <v>289</v>
      </c>
      <c r="B179">
        <v>39201625</v>
      </c>
      <c r="C179">
        <v>42358374</v>
      </c>
      <c r="D179">
        <v>26555822</v>
      </c>
      <c r="E179">
        <v>1</v>
      </c>
      <c r="F179">
        <v>1</v>
      </c>
      <c r="G179">
        <v>1</v>
      </c>
      <c r="H179">
        <v>2</v>
      </c>
      <c r="I179" t="s">
        <v>461</v>
      </c>
      <c r="J179" t="s">
        <v>462</v>
      </c>
      <c r="K179" t="s">
        <v>463</v>
      </c>
      <c r="L179">
        <v>26553684</v>
      </c>
      <c r="N179">
        <v>1013</v>
      </c>
      <c r="O179" t="s">
        <v>387</v>
      </c>
      <c r="P179" t="s">
        <v>387</v>
      </c>
      <c r="Q179">
        <v>1</v>
      </c>
      <c r="W179">
        <v>0</v>
      </c>
      <c r="X179">
        <v>210745813</v>
      </c>
      <c r="Y179">
        <v>0.13750000000000001</v>
      </c>
      <c r="AA179">
        <v>0</v>
      </c>
      <c r="AB179">
        <v>86.55</v>
      </c>
      <c r="AC179">
        <v>0</v>
      </c>
      <c r="AD179">
        <v>0</v>
      </c>
      <c r="AE179">
        <v>0</v>
      </c>
      <c r="AF179">
        <v>86.55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0.11</v>
      </c>
      <c r="AU179" t="s">
        <v>12</v>
      </c>
      <c r="AV179">
        <v>0</v>
      </c>
      <c r="AW179">
        <v>2</v>
      </c>
      <c r="AX179">
        <v>42358387</v>
      </c>
      <c r="AY179">
        <v>1</v>
      </c>
      <c r="AZ179">
        <v>0</v>
      </c>
      <c r="BA179">
        <v>182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Y179*Source!I289</f>
        <v>0.35750000000000004</v>
      </c>
      <c r="CY179">
        <f>AB179</f>
        <v>86.55</v>
      </c>
      <c r="CZ179">
        <f>AF179</f>
        <v>86.55</v>
      </c>
      <c r="DA179">
        <f>AJ179</f>
        <v>1</v>
      </c>
      <c r="DB179">
        <f>ROUND((ROUND(AT179*CZ179,2)*1.25),2)</f>
        <v>11.9</v>
      </c>
      <c r="DC179">
        <f>ROUND((ROUND(AT179*AG179,2)*1.25),2)</f>
        <v>0</v>
      </c>
    </row>
    <row r="180" spans="1:107" x14ac:dyDescent="0.2">
      <c r="A180">
        <f>ROW(Source!A289)</f>
        <v>289</v>
      </c>
      <c r="B180">
        <v>39201625</v>
      </c>
      <c r="C180">
        <v>42358374</v>
      </c>
      <c r="D180">
        <v>26560352</v>
      </c>
      <c r="E180">
        <v>1</v>
      </c>
      <c r="F180">
        <v>1</v>
      </c>
      <c r="G180">
        <v>1</v>
      </c>
      <c r="H180">
        <v>3</v>
      </c>
      <c r="I180" t="s">
        <v>282</v>
      </c>
      <c r="J180" t="s">
        <v>284</v>
      </c>
      <c r="K180" t="s">
        <v>283</v>
      </c>
      <c r="L180">
        <v>1348</v>
      </c>
      <c r="N180">
        <v>1009</v>
      </c>
      <c r="O180" t="s">
        <v>169</v>
      </c>
      <c r="P180" t="s">
        <v>169</v>
      </c>
      <c r="Q180">
        <v>1000</v>
      </c>
      <c r="W180">
        <v>0</v>
      </c>
      <c r="X180">
        <v>1580971982</v>
      </c>
      <c r="Y180">
        <v>0.104231</v>
      </c>
      <c r="AA180">
        <v>12683.81</v>
      </c>
      <c r="AB180">
        <v>0</v>
      </c>
      <c r="AC180">
        <v>0</v>
      </c>
      <c r="AD180">
        <v>0</v>
      </c>
      <c r="AE180">
        <v>12683.81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1</v>
      </c>
      <c r="AO180">
        <v>0</v>
      </c>
      <c r="AP180">
        <v>0</v>
      </c>
      <c r="AQ180">
        <v>0</v>
      </c>
      <c r="AR180">
        <v>0</v>
      </c>
      <c r="AS180" t="s">
        <v>3</v>
      </c>
      <c r="AT180">
        <v>0.104231</v>
      </c>
      <c r="AU180" t="s">
        <v>3</v>
      </c>
      <c r="AV180">
        <v>0</v>
      </c>
      <c r="AW180">
        <v>1</v>
      </c>
      <c r="AX180">
        <v>-1</v>
      </c>
      <c r="AY180">
        <v>0</v>
      </c>
      <c r="AZ180">
        <v>0</v>
      </c>
      <c r="BA180" t="s">
        <v>3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Y180*Source!I289</f>
        <v>0.27100060000000004</v>
      </c>
      <c r="CY180">
        <f>AA180</f>
        <v>12683.81</v>
      </c>
      <c r="CZ180">
        <f>AE180</f>
        <v>12683.81</v>
      </c>
      <c r="DA180">
        <f>AI180</f>
        <v>1</v>
      </c>
      <c r="DB180">
        <f>ROUND(ROUND(AT180*CZ180,2),2)</f>
        <v>1322.05</v>
      </c>
      <c r="DC180">
        <f>ROUND(ROUND(AT180*AG180,2),2)</f>
        <v>0</v>
      </c>
    </row>
    <row r="181" spans="1:107" x14ac:dyDescent="0.2">
      <c r="A181">
        <f>ROW(Source!A289)</f>
        <v>289</v>
      </c>
      <c r="B181">
        <v>39201625</v>
      </c>
      <c r="C181">
        <v>42358374</v>
      </c>
      <c r="D181">
        <v>26563383</v>
      </c>
      <c r="E181">
        <v>1</v>
      </c>
      <c r="F181">
        <v>1</v>
      </c>
      <c r="G181">
        <v>1</v>
      </c>
      <c r="H181">
        <v>3</v>
      </c>
      <c r="I181" t="s">
        <v>286</v>
      </c>
      <c r="J181" t="s">
        <v>289</v>
      </c>
      <c r="K181" t="s">
        <v>287</v>
      </c>
      <c r="L181">
        <v>1358</v>
      </c>
      <c r="N181">
        <v>1010</v>
      </c>
      <c r="O181" t="s">
        <v>288</v>
      </c>
      <c r="P181" t="s">
        <v>288</v>
      </c>
      <c r="Q181">
        <v>10</v>
      </c>
      <c r="W181">
        <v>0</v>
      </c>
      <c r="X181">
        <v>264401992</v>
      </c>
      <c r="Y181">
        <v>20.846153999999999</v>
      </c>
      <c r="AA181">
        <v>10.93</v>
      </c>
      <c r="AB181">
        <v>0</v>
      </c>
      <c r="AC181">
        <v>0</v>
      </c>
      <c r="AD181">
        <v>0</v>
      </c>
      <c r="AE181">
        <v>10.93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0</v>
      </c>
      <c r="AP181">
        <v>0</v>
      </c>
      <c r="AQ181">
        <v>0</v>
      </c>
      <c r="AR181">
        <v>0</v>
      </c>
      <c r="AS181" t="s">
        <v>3</v>
      </c>
      <c r="AT181">
        <v>20.846153999999999</v>
      </c>
      <c r="AU181" t="s">
        <v>3</v>
      </c>
      <c r="AV181">
        <v>0</v>
      </c>
      <c r="AW181">
        <v>1</v>
      </c>
      <c r="AX181">
        <v>-1</v>
      </c>
      <c r="AY181">
        <v>0</v>
      </c>
      <c r="AZ181">
        <v>0</v>
      </c>
      <c r="BA181" t="s">
        <v>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Y181*Source!I289</f>
        <v>54.2000004</v>
      </c>
      <c r="CY181">
        <f>AA181</f>
        <v>10.93</v>
      </c>
      <c r="CZ181">
        <f>AE181</f>
        <v>10.93</v>
      </c>
      <c r="DA181">
        <f>AI181</f>
        <v>1</v>
      </c>
      <c r="DB181">
        <f>ROUND(ROUND(AT181*CZ181,2),2)</f>
        <v>227.85</v>
      </c>
      <c r="DC181">
        <f>ROUND(ROUND(AT181*AG181,2),2)</f>
        <v>0</v>
      </c>
    </row>
    <row r="182" spans="1:107" x14ac:dyDescent="0.2">
      <c r="A182">
        <f>ROW(Source!A289)</f>
        <v>289</v>
      </c>
      <c r="B182">
        <v>39201625</v>
      </c>
      <c r="C182">
        <v>42358374</v>
      </c>
      <c r="D182">
        <v>26568256</v>
      </c>
      <c r="E182">
        <v>1</v>
      </c>
      <c r="F182">
        <v>1</v>
      </c>
      <c r="G182">
        <v>1</v>
      </c>
      <c r="H182">
        <v>3</v>
      </c>
      <c r="I182" t="s">
        <v>278</v>
      </c>
      <c r="J182" t="s">
        <v>280</v>
      </c>
      <c r="K182" t="s">
        <v>279</v>
      </c>
      <c r="L182">
        <v>1301</v>
      </c>
      <c r="N182">
        <v>1003</v>
      </c>
      <c r="O182" t="s">
        <v>273</v>
      </c>
      <c r="P182" t="s">
        <v>273</v>
      </c>
      <c r="Q182">
        <v>1</v>
      </c>
      <c r="W182">
        <v>0</v>
      </c>
      <c r="X182">
        <v>-950338045</v>
      </c>
      <c r="Y182">
        <v>37.5</v>
      </c>
      <c r="AA182">
        <v>16.579999999999998</v>
      </c>
      <c r="AB182">
        <v>0</v>
      </c>
      <c r="AC182">
        <v>0</v>
      </c>
      <c r="AD182">
        <v>0</v>
      </c>
      <c r="AE182">
        <v>16.579999999999998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1</v>
      </c>
      <c r="AO182">
        <v>0</v>
      </c>
      <c r="AP182">
        <v>0</v>
      </c>
      <c r="AQ182">
        <v>0</v>
      </c>
      <c r="AR182">
        <v>0</v>
      </c>
      <c r="AS182" t="s">
        <v>3</v>
      </c>
      <c r="AT182">
        <v>37.5</v>
      </c>
      <c r="AU182" t="s">
        <v>3</v>
      </c>
      <c r="AV182">
        <v>0</v>
      </c>
      <c r="AW182">
        <v>1</v>
      </c>
      <c r="AX182">
        <v>-1</v>
      </c>
      <c r="AY182">
        <v>0</v>
      </c>
      <c r="AZ182">
        <v>0</v>
      </c>
      <c r="BA182" t="s">
        <v>3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Y182*Source!I289</f>
        <v>97.5</v>
      </c>
      <c r="CY182">
        <f>AA182</f>
        <v>16.579999999999998</v>
      </c>
      <c r="CZ182">
        <f>AE182</f>
        <v>16.579999999999998</v>
      </c>
      <c r="DA182">
        <f>AI182</f>
        <v>1</v>
      </c>
      <c r="DB182">
        <f>ROUND(ROUND(AT182*CZ182,2),2)</f>
        <v>621.75</v>
      </c>
      <c r="DC182">
        <f>ROUND(ROUND(AT182*AG182,2),2)</f>
        <v>0</v>
      </c>
    </row>
    <row r="183" spans="1:107" x14ac:dyDescent="0.2">
      <c r="A183">
        <f>ROW(Source!A293)</f>
        <v>293</v>
      </c>
      <c r="B183">
        <v>39201625</v>
      </c>
      <c r="C183">
        <v>42358393</v>
      </c>
      <c r="D183">
        <v>24243176</v>
      </c>
      <c r="E183">
        <v>1</v>
      </c>
      <c r="F183">
        <v>1</v>
      </c>
      <c r="G183">
        <v>1</v>
      </c>
      <c r="H183">
        <v>1</v>
      </c>
      <c r="I183" t="s">
        <v>545</v>
      </c>
      <c r="J183" t="s">
        <v>3</v>
      </c>
      <c r="K183" t="s">
        <v>546</v>
      </c>
      <c r="L183">
        <v>1476</v>
      </c>
      <c r="N183">
        <v>1013</v>
      </c>
      <c r="O183" t="s">
        <v>380</v>
      </c>
      <c r="P183" t="s">
        <v>381</v>
      </c>
      <c r="Q183">
        <v>1</v>
      </c>
      <c r="W183">
        <v>0</v>
      </c>
      <c r="X183">
        <v>433833359</v>
      </c>
      <c r="Y183">
        <v>6.1064999999999987</v>
      </c>
      <c r="AA183">
        <v>0</v>
      </c>
      <c r="AB183">
        <v>0</v>
      </c>
      <c r="AC183">
        <v>0</v>
      </c>
      <c r="AD183">
        <v>8.66</v>
      </c>
      <c r="AE183">
        <v>0</v>
      </c>
      <c r="AF183">
        <v>0</v>
      </c>
      <c r="AG183">
        <v>0</v>
      </c>
      <c r="AH183">
        <v>8.66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5.31</v>
      </c>
      <c r="AU183" t="s">
        <v>13</v>
      </c>
      <c r="AV183">
        <v>1</v>
      </c>
      <c r="AW183">
        <v>2</v>
      </c>
      <c r="AX183">
        <v>42358402</v>
      </c>
      <c r="AY183">
        <v>1</v>
      </c>
      <c r="AZ183">
        <v>0</v>
      </c>
      <c r="BA183">
        <v>185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Y183*Source!I293</f>
        <v>0.87322949999999977</v>
      </c>
      <c r="CY183">
        <f>AD183</f>
        <v>8.66</v>
      </c>
      <c r="CZ183">
        <f>AH183</f>
        <v>8.66</v>
      </c>
      <c r="DA183">
        <f>AL183</f>
        <v>1</v>
      </c>
      <c r="DB183">
        <f>ROUND((ROUND(AT183*CZ183,2)*1.15),2)</f>
        <v>52.88</v>
      </c>
      <c r="DC183">
        <f>ROUND((ROUND(AT183*AG183,2)*1.15),2)</f>
        <v>0</v>
      </c>
    </row>
    <row r="184" spans="1:107" x14ac:dyDescent="0.2">
      <c r="A184">
        <f>ROW(Source!A293)</f>
        <v>293</v>
      </c>
      <c r="B184">
        <v>39201625</v>
      </c>
      <c r="C184">
        <v>42358393</v>
      </c>
      <c r="D184">
        <v>121548</v>
      </c>
      <c r="E184">
        <v>1</v>
      </c>
      <c r="F184">
        <v>1</v>
      </c>
      <c r="G184">
        <v>1</v>
      </c>
      <c r="H184">
        <v>1</v>
      </c>
      <c r="I184" t="s">
        <v>26</v>
      </c>
      <c r="J184" t="s">
        <v>3</v>
      </c>
      <c r="K184" t="s">
        <v>382</v>
      </c>
      <c r="L184">
        <v>608254</v>
      </c>
      <c r="N184">
        <v>1013</v>
      </c>
      <c r="O184" t="s">
        <v>383</v>
      </c>
      <c r="P184" t="s">
        <v>383</v>
      </c>
      <c r="Q184">
        <v>1</v>
      </c>
      <c r="W184">
        <v>0</v>
      </c>
      <c r="X184">
        <v>-185737400</v>
      </c>
      <c r="Y184">
        <v>1.2500000000000001E-2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0.01</v>
      </c>
      <c r="AU184" t="s">
        <v>12</v>
      </c>
      <c r="AV184">
        <v>2</v>
      </c>
      <c r="AW184">
        <v>2</v>
      </c>
      <c r="AX184">
        <v>42358403</v>
      </c>
      <c r="AY184">
        <v>1</v>
      </c>
      <c r="AZ184">
        <v>0</v>
      </c>
      <c r="BA184">
        <v>186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Y184*Source!I293</f>
        <v>1.7875E-3</v>
      </c>
      <c r="CY184">
        <f>AD184</f>
        <v>0</v>
      </c>
      <c r="CZ184">
        <f>AH184</f>
        <v>0</v>
      </c>
      <c r="DA184">
        <f>AL184</f>
        <v>1</v>
      </c>
      <c r="DB184">
        <f>ROUND((ROUND(AT184*CZ184,2)*1.25),2)</f>
        <v>0</v>
      </c>
      <c r="DC184">
        <f>ROUND((ROUND(AT184*AG184,2)*1.25),2)</f>
        <v>0</v>
      </c>
    </row>
    <row r="185" spans="1:107" x14ac:dyDescent="0.2">
      <c r="A185">
        <f>ROW(Source!A293)</f>
        <v>293</v>
      </c>
      <c r="B185">
        <v>39201625</v>
      </c>
      <c r="C185">
        <v>42358393</v>
      </c>
      <c r="D185">
        <v>26553886</v>
      </c>
      <c r="E185">
        <v>1</v>
      </c>
      <c r="F185">
        <v>1</v>
      </c>
      <c r="G185">
        <v>1</v>
      </c>
      <c r="H185">
        <v>2</v>
      </c>
      <c r="I185" t="s">
        <v>429</v>
      </c>
      <c r="J185" t="s">
        <v>430</v>
      </c>
      <c r="K185" t="s">
        <v>431</v>
      </c>
      <c r="L185">
        <v>26553684</v>
      </c>
      <c r="N185">
        <v>1013</v>
      </c>
      <c r="O185" t="s">
        <v>387</v>
      </c>
      <c r="P185" t="s">
        <v>387</v>
      </c>
      <c r="Q185">
        <v>1</v>
      </c>
      <c r="W185">
        <v>0</v>
      </c>
      <c r="X185">
        <v>-1120646225</v>
      </c>
      <c r="Y185">
        <v>1.2500000000000001E-2</v>
      </c>
      <c r="AA185">
        <v>0</v>
      </c>
      <c r="AB185">
        <v>89.81</v>
      </c>
      <c r="AC185">
        <v>9.8800000000000008</v>
      </c>
      <c r="AD185">
        <v>0</v>
      </c>
      <c r="AE185">
        <v>0</v>
      </c>
      <c r="AF185">
        <v>89.81</v>
      </c>
      <c r="AG185">
        <v>9.8800000000000008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0.01</v>
      </c>
      <c r="AU185" t="s">
        <v>12</v>
      </c>
      <c r="AV185">
        <v>0</v>
      </c>
      <c r="AW185">
        <v>2</v>
      </c>
      <c r="AX185">
        <v>42358404</v>
      </c>
      <c r="AY185">
        <v>1</v>
      </c>
      <c r="AZ185">
        <v>0</v>
      </c>
      <c r="BA185">
        <v>187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Y185*Source!I293</f>
        <v>1.7875E-3</v>
      </c>
      <c r="CY185">
        <f>AB185</f>
        <v>89.81</v>
      </c>
      <c r="CZ185">
        <f>AF185</f>
        <v>89.81</v>
      </c>
      <c r="DA185">
        <f>AJ185</f>
        <v>1</v>
      </c>
      <c r="DB185">
        <f>ROUND((ROUND(AT185*CZ185,2)*1.25),2)</f>
        <v>1.1299999999999999</v>
      </c>
      <c r="DC185">
        <f>ROUND((ROUND(AT185*AG185,2)*1.25),2)</f>
        <v>0.13</v>
      </c>
    </row>
    <row r="186" spans="1:107" x14ac:dyDescent="0.2">
      <c r="A186">
        <f>ROW(Source!A293)</f>
        <v>293</v>
      </c>
      <c r="B186">
        <v>39201625</v>
      </c>
      <c r="C186">
        <v>42358393</v>
      </c>
      <c r="D186">
        <v>26553912</v>
      </c>
      <c r="E186">
        <v>1</v>
      </c>
      <c r="F186">
        <v>1</v>
      </c>
      <c r="G186">
        <v>1</v>
      </c>
      <c r="H186">
        <v>2</v>
      </c>
      <c r="I186" t="s">
        <v>547</v>
      </c>
      <c r="J186" t="s">
        <v>548</v>
      </c>
      <c r="K186" t="s">
        <v>549</v>
      </c>
      <c r="L186">
        <v>26553684</v>
      </c>
      <c r="N186">
        <v>1013</v>
      </c>
      <c r="O186" t="s">
        <v>387</v>
      </c>
      <c r="P186" t="s">
        <v>387</v>
      </c>
      <c r="Q186">
        <v>1</v>
      </c>
      <c r="W186">
        <v>0</v>
      </c>
      <c r="X186">
        <v>-2064224424</v>
      </c>
      <c r="Y186">
        <v>1.2500000000000001E-2</v>
      </c>
      <c r="AA186">
        <v>0</v>
      </c>
      <c r="AB186">
        <v>1.7</v>
      </c>
      <c r="AC186">
        <v>0</v>
      </c>
      <c r="AD186">
        <v>0</v>
      </c>
      <c r="AE186">
        <v>0</v>
      </c>
      <c r="AF186">
        <v>1.7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0.01</v>
      </c>
      <c r="AU186" t="s">
        <v>12</v>
      </c>
      <c r="AV186">
        <v>0</v>
      </c>
      <c r="AW186">
        <v>2</v>
      </c>
      <c r="AX186">
        <v>42358405</v>
      </c>
      <c r="AY186">
        <v>1</v>
      </c>
      <c r="AZ186">
        <v>0</v>
      </c>
      <c r="BA186">
        <v>188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Y186*Source!I293</f>
        <v>1.7875E-3</v>
      </c>
      <c r="CY186">
        <f>AB186</f>
        <v>1.7</v>
      </c>
      <c r="CZ186">
        <f>AF186</f>
        <v>1.7</v>
      </c>
      <c r="DA186">
        <f>AJ186</f>
        <v>1</v>
      </c>
      <c r="DB186">
        <f>ROUND((ROUND(AT186*CZ186,2)*1.25),2)</f>
        <v>0.03</v>
      </c>
      <c r="DC186">
        <f>ROUND((ROUND(AT186*AG186,2)*1.25),2)</f>
        <v>0</v>
      </c>
    </row>
    <row r="187" spans="1:107" x14ac:dyDescent="0.2">
      <c r="A187">
        <f>ROW(Source!A293)</f>
        <v>293</v>
      </c>
      <c r="B187">
        <v>39201625</v>
      </c>
      <c r="C187">
        <v>42358393</v>
      </c>
      <c r="D187">
        <v>26555573</v>
      </c>
      <c r="E187">
        <v>1</v>
      </c>
      <c r="F187">
        <v>1</v>
      </c>
      <c r="G187">
        <v>1</v>
      </c>
      <c r="H187">
        <v>2</v>
      </c>
      <c r="I187" t="s">
        <v>550</v>
      </c>
      <c r="J187" t="s">
        <v>551</v>
      </c>
      <c r="K187" t="s">
        <v>552</v>
      </c>
      <c r="L187">
        <v>26553684</v>
      </c>
      <c r="N187">
        <v>1013</v>
      </c>
      <c r="O187" t="s">
        <v>387</v>
      </c>
      <c r="P187" t="s">
        <v>387</v>
      </c>
      <c r="Q187">
        <v>1</v>
      </c>
      <c r="W187">
        <v>0</v>
      </c>
      <c r="X187">
        <v>1583648764</v>
      </c>
      <c r="Y187">
        <v>1.4000000000000001</v>
      </c>
      <c r="AA187">
        <v>0</v>
      </c>
      <c r="AB187">
        <v>6.82</v>
      </c>
      <c r="AC187">
        <v>0</v>
      </c>
      <c r="AD187">
        <v>0</v>
      </c>
      <c r="AE187">
        <v>0</v>
      </c>
      <c r="AF187">
        <v>6.82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1.1200000000000001</v>
      </c>
      <c r="AU187" t="s">
        <v>12</v>
      </c>
      <c r="AV187">
        <v>0</v>
      </c>
      <c r="AW187">
        <v>2</v>
      </c>
      <c r="AX187">
        <v>42358406</v>
      </c>
      <c r="AY187">
        <v>1</v>
      </c>
      <c r="AZ187">
        <v>0</v>
      </c>
      <c r="BA187">
        <v>189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Y187*Source!I293</f>
        <v>0.20019999999999999</v>
      </c>
      <c r="CY187">
        <f>AB187</f>
        <v>6.82</v>
      </c>
      <c r="CZ187">
        <f>AF187</f>
        <v>6.82</v>
      </c>
      <c r="DA187">
        <f>AJ187</f>
        <v>1</v>
      </c>
      <c r="DB187">
        <f>ROUND((ROUND(AT187*CZ187,2)*1.25),2)</f>
        <v>9.5500000000000007</v>
      </c>
      <c r="DC187">
        <f>ROUND((ROUND(AT187*AG187,2)*1.25),2)</f>
        <v>0</v>
      </c>
    </row>
    <row r="188" spans="1:107" x14ac:dyDescent="0.2">
      <c r="A188">
        <f>ROW(Source!A293)</f>
        <v>293</v>
      </c>
      <c r="B188">
        <v>39201625</v>
      </c>
      <c r="C188">
        <v>42358393</v>
      </c>
      <c r="D188">
        <v>26555822</v>
      </c>
      <c r="E188">
        <v>1</v>
      </c>
      <c r="F188">
        <v>1</v>
      </c>
      <c r="G188">
        <v>1</v>
      </c>
      <c r="H188">
        <v>2</v>
      </c>
      <c r="I188" t="s">
        <v>461</v>
      </c>
      <c r="J188" t="s">
        <v>462</v>
      </c>
      <c r="K188" t="s">
        <v>463</v>
      </c>
      <c r="L188">
        <v>26553684</v>
      </c>
      <c r="N188">
        <v>1013</v>
      </c>
      <c r="O188" t="s">
        <v>387</v>
      </c>
      <c r="P188" t="s">
        <v>387</v>
      </c>
      <c r="Q188">
        <v>1</v>
      </c>
      <c r="W188">
        <v>0</v>
      </c>
      <c r="X188">
        <v>210745813</v>
      </c>
      <c r="Y188">
        <v>1.2500000000000001E-2</v>
      </c>
      <c r="AA188">
        <v>0</v>
      </c>
      <c r="AB188">
        <v>86.55</v>
      </c>
      <c r="AC188">
        <v>0</v>
      </c>
      <c r="AD188">
        <v>0</v>
      </c>
      <c r="AE188">
        <v>0</v>
      </c>
      <c r="AF188">
        <v>86.55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0.01</v>
      </c>
      <c r="AU188" t="s">
        <v>12</v>
      </c>
      <c r="AV188">
        <v>0</v>
      </c>
      <c r="AW188">
        <v>2</v>
      </c>
      <c r="AX188">
        <v>42358407</v>
      </c>
      <c r="AY188">
        <v>1</v>
      </c>
      <c r="AZ188">
        <v>0</v>
      </c>
      <c r="BA188">
        <v>190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Y188*Source!I293</f>
        <v>1.7875E-3</v>
      </c>
      <c r="CY188">
        <f>AB188</f>
        <v>86.55</v>
      </c>
      <c r="CZ188">
        <f>AF188</f>
        <v>86.55</v>
      </c>
      <c r="DA188">
        <f>AJ188</f>
        <v>1</v>
      </c>
      <c r="DB188">
        <f>ROUND((ROUND(AT188*CZ188,2)*1.25),2)</f>
        <v>1.0900000000000001</v>
      </c>
      <c r="DC188">
        <f>ROUND((ROUND(AT188*AG188,2)*1.25),2)</f>
        <v>0</v>
      </c>
    </row>
    <row r="189" spans="1:107" x14ac:dyDescent="0.2">
      <c r="A189">
        <f>ROW(Source!A293)</f>
        <v>293</v>
      </c>
      <c r="B189">
        <v>39201625</v>
      </c>
      <c r="C189">
        <v>42358393</v>
      </c>
      <c r="D189">
        <v>26573222</v>
      </c>
      <c r="E189">
        <v>1</v>
      </c>
      <c r="F189">
        <v>1</v>
      </c>
      <c r="G189">
        <v>1</v>
      </c>
      <c r="H189">
        <v>3</v>
      </c>
      <c r="I189" t="s">
        <v>553</v>
      </c>
      <c r="J189" t="s">
        <v>554</v>
      </c>
      <c r="K189" t="s">
        <v>555</v>
      </c>
      <c r="L189">
        <v>1348</v>
      </c>
      <c r="N189">
        <v>1009</v>
      </c>
      <c r="O189" t="s">
        <v>169</v>
      </c>
      <c r="P189" t="s">
        <v>169</v>
      </c>
      <c r="Q189">
        <v>1000</v>
      </c>
      <c r="W189">
        <v>0</v>
      </c>
      <c r="X189">
        <v>-1373180420</v>
      </c>
      <c r="Y189">
        <v>1.2E-2</v>
      </c>
      <c r="AA189">
        <v>14566.41</v>
      </c>
      <c r="AB189">
        <v>0</v>
      </c>
      <c r="AC189">
        <v>0</v>
      </c>
      <c r="AD189">
        <v>0</v>
      </c>
      <c r="AE189">
        <v>14566.41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0</v>
      </c>
      <c r="AQ189">
        <v>0</v>
      </c>
      <c r="AR189">
        <v>0</v>
      </c>
      <c r="AS189" t="s">
        <v>3</v>
      </c>
      <c r="AT189">
        <v>1.2E-2</v>
      </c>
      <c r="AU189" t="s">
        <v>3</v>
      </c>
      <c r="AV189">
        <v>0</v>
      </c>
      <c r="AW189">
        <v>2</v>
      </c>
      <c r="AX189">
        <v>42358408</v>
      </c>
      <c r="AY189">
        <v>1</v>
      </c>
      <c r="AZ189">
        <v>0</v>
      </c>
      <c r="BA189">
        <v>191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Y189*Source!I293</f>
        <v>1.7159999999999999E-3</v>
      </c>
      <c r="CY189">
        <f>AA189</f>
        <v>14566.41</v>
      </c>
      <c r="CZ189">
        <f>AE189</f>
        <v>14566.41</v>
      </c>
      <c r="DA189">
        <f>AI189</f>
        <v>1</v>
      </c>
      <c r="DB189">
        <f>ROUND(ROUND(AT189*CZ189,2),2)</f>
        <v>174.8</v>
      </c>
      <c r="DC189">
        <f>ROUND(ROUND(AT189*AG189,2),2)</f>
        <v>0</v>
      </c>
    </row>
    <row r="190" spans="1:107" x14ac:dyDescent="0.2">
      <c r="A190">
        <f>ROW(Source!A293)</f>
        <v>293</v>
      </c>
      <c r="B190">
        <v>39201625</v>
      </c>
      <c r="C190">
        <v>42358393</v>
      </c>
      <c r="D190">
        <v>26573279</v>
      </c>
      <c r="E190">
        <v>1</v>
      </c>
      <c r="F190">
        <v>1</v>
      </c>
      <c r="G190">
        <v>1</v>
      </c>
      <c r="H190">
        <v>3</v>
      </c>
      <c r="I190" t="s">
        <v>556</v>
      </c>
      <c r="J190" t="s">
        <v>557</v>
      </c>
      <c r="K190" t="s">
        <v>558</v>
      </c>
      <c r="L190">
        <v>1348</v>
      </c>
      <c r="N190">
        <v>1009</v>
      </c>
      <c r="O190" t="s">
        <v>169</v>
      </c>
      <c r="P190" t="s">
        <v>169</v>
      </c>
      <c r="Q190">
        <v>1000</v>
      </c>
      <c r="W190">
        <v>0</v>
      </c>
      <c r="X190">
        <v>-873512064</v>
      </c>
      <c r="Y190">
        <v>2E-3</v>
      </c>
      <c r="AA190">
        <v>7123.57</v>
      </c>
      <c r="AB190">
        <v>0</v>
      </c>
      <c r="AC190">
        <v>0</v>
      </c>
      <c r="AD190">
        <v>0</v>
      </c>
      <c r="AE190">
        <v>7123.57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0</v>
      </c>
      <c r="AQ190">
        <v>0</v>
      </c>
      <c r="AR190">
        <v>0</v>
      </c>
      <c r="AS190" t="s">
        <v>3</v>
      </c>
      <c r="AT190">
        <v>2E-3</v>
      </c>
      <c r="AU190" t="s">
        <v>3</v>
      </c>
      <c r="AV190">
        <v>0</v>
      </c>
      <c r="AW190">
        <v>2</v>
      </c>
      <c r="AX190">
        <v>42358409</v>
      </c>
      <c r="AY190">
        <v>1</v>
      </c>
      <c r="AZ190">
        <v>0</v>
      </c>
      <c r="BA190">
        <v>192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Y190*Source!I293</f>
        <v>2.8599999999999996E-4</v>
      </c>
      <c r="CY190">
        <f>AA190</f>
        <v>7123.57</v>
      </c>
      <c r="CZ190">
        <f>AE190</f>
        <v>7123.57</v>
      </c>
      <c r="DA190">
        <f>AI190</f>
        <v>1</v>
      </c>
      <c r="DB190">
        <f>ROUND(ROUND(AT190*CZ190,2),2)</f>
        <v>14.25</v>
      </c>
      <c r="DC190">
        <f>ROUND(ROUND(AT190*AG190,2),2)</f>
        <v>0</v>
      </c>
    </row>
    <row r="191" spans="1:107" x14ac:dyDescent="0.2">
      <c r="A191">
        <f>ROW(Source!A294)</f>
        <v>294</v>
      </c>
      <c r="B191">
        <v>39201625</v>
      </c>
      <c r="C191">
        <v>42358410</v>
      </c>
      <c r="D191">
        <v>24225460</v>
      </c>
      <c r="E191">
        <v>1</v>
      </c>
      <c r="F191">
        <v>1</v>
      </c>
      <c r="G191">
        <v>1</v>
      </c>
      <c r="H191">
        <v>1</v>
      </c>
      <c r="I191" t="s">
        <v>559</v>
      </c>
      <c r="J191" t="s">
        <v>3</v>
      </c>
      <c r="K191" t="s">
        <v>560</v>
      </c>
      <c r="L191">
        <v>1476</v>
      </c>
      <c r="N191">
        <v>1013</v>
      </c>
      <c r="O191" t="s">
        <v>380</v>
      </c>
      <c r="P191" t="s">
        <v>381</v>
      </c>
      <c r="Q191">
        <v>1</v>
      </c>
      <c r="W191">
        <v>0</v>
      </c>
      <c r="X191">
        <v>811010407</v>
      </c>
      <c r="Y191">
        <v>4.4044999999999996</v>
      </c>
      <c r="AA191">
        <v>0</v>
      </c>
      <c r="AB191">
        <v>0</v>
      </c>
      <c r="AC191">
        <v>0</v>
      </c>
      <c r="AD191">
        <v>7.38</v>
      </c>
      <c r="AE191">
        <v>0</v>
      </c>
      <c r="AF191">
        <v>0</v>
      </c>
      <c r="AG191">
        <v>0</v>
      </c>
      <c r="AH191">
        <v>7.38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3.83</v>
      </c>
      <c r="AU191" t="s">
        <v>13</v>
      </c>
      <c r="AV191">
        <v>1</v>
      </c>
      <c r="AW191">
        <v>2</v>
      </c>
      <c r="AX191">
        <v>42358419</v>
      </c>
      <c r="AY191">
        <v>1</v>
      </c>
      <c r="AZ191">
        <v>0</v>
      </c>
      <c r="BA191">
        <v>193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Y191*Source!I294</f>
        <v>0.62984349999999989</v>
      </c>
      <c r="CY191">
        <f>AD191</f>
        <v>7.38</v>
      </c>
      <c r="CZ191">
        <f>AH191</f>
        <v>7.38</v>
      </c>
      <c r="DA191">
        <f>AL191</f>
        <v>1</v>
      </c>
      <c r="DB191">
        <f>ROUND((ROUND(AT191*CZ191,2)*1.15),2)</f>
        <v>32.51</v>
      </c>
      <c r="DC191">
        <f>ROUND((ROUND(AT191*AG191,2)*1.15),2)</f>
        <v>0</v>
      </c>
    </row>
    <row r="192" spans="1:107" x14ac:dyDescent="0.2">
      <c r="A192">
        <f>ROW(Source!A294)</f>
        <v>294</v>
      </c>
      <c r="B192">
        <v>39201625</v>
      </c>
      <c r="C192">
        <v>42358410</v>
      </c>
      <c r="D192">
        <v>121548</v>
      </c>
      <c r="E192">
        <v>1</v>
      </c>
      <c r="F192">
        <v>1</v>
      </c>
      <c r="G192">
        <v>1</v>
      </c>
      <c r="H192">
        <v>1</v>
      </c>
      <c r="I192" t="s">
        <v>26</v>
      </c>
      <c r="J192" t="s">
        <v>3</v>
      </c>
      <c r="K192" t="s">
        <v>382</v>
      </c>
      <c r="L192">
        <v>608254</v>
      </c>
      <c r="N192">
        <v>1013</v>
      </c>
      <c r="O192" t="s">
        <v>383</v>
      </c>
      <c r="P192" t="s">
        <v>383</v>
      </c>
      <c r="Q192">
        <v>1</v>
      </c>
      <c r="W192">
        <v>0</v>
      </c>
      <c r="X192">
        <v>-185737400</v>
      </c>
      <c r="Y192">
        <v>1.2500000000000001E-2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0.01</v>
      </c>
      <c r="AU192" t="s">
        <v>12</v>
      </c>
      <c r="AV192">
        <v>2</v>
      </c>
      <c r="AW192">
        <v>2</v>
      </c>
      <c r="AX192">
        <v>42358420</v>
      </c>
      <c r="AY192">
        <v>1</v>
      </c>
      <c r="AZ192">
        <v>0</v>
      </c>
      <c r="BA192">
        <v>194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Y192*Source!I294</f>
        <v>1.7875E-3</v>
      </c>
      <c r="CY192">
        <f>AD192</f>
        <v>0</v>
      </c>
      <c r="CZ192">
        <f>AH192</f>
        <v>0</v>
      </c>
      <c r="DA192">
        <f>AL192</f>
        <v>1</v>
      </c>
      <c r="DB192">
        <f>ROUND((ROUND(AT192*CZ192,2)*1.25),2)</f>
        <v>0</v>
      </c>
      <c r="DC192">
        <f>ROUND((ROUND(AT192*AG192,2)*1.25),2)</f>
        <v>0</v>
      </c>
    </row>
    <row r="193" spans="1:107" x14ac:dyDescent="0.2">
      <c r="A193">
        <f>ROW(Source!A294)</f>
        <v>294</v>
      </c>
      <c r="B193">
        <v>39201625</v>
      </c>
      <c r="C193">
        <v>42358410</v>
      </c>
      <c r="D193">
        <v>26553886</v>
      </c>
      <c r="E193">
        <v>1</v>
      </c>
      <c r="F193">
        <v>1</v>
      </c>
      <c r="G193">
        <v>1</v>
      </c>
      <c r="H193">
        <v>2</v>
      </c>
      <c r="I193" t="s">
        <v>429</v>
      </c>
      <c r="J193" t="s">
        <v>430</v>
      </c>
      <c r="K193" t="s">
        <v>431</v>
      </c>
      <c r="L193">
        <v>26553684</v>
      </c>
      <c r="N193">
        <v>1013</v>
      </c>
      <c r="O193" t="s">
        <v>387</v>
      </c>
      <c r="P193" t="s">
        <v>387</v>
      </c>
      <c r="Q193">
        <v>1</v>
      </c>
      <c r="W193">
        <v>0</v>
      </c>
      <c r="X193">
        <v>-1120646225</v>
      </c>
      <c r="Y193">
        <v>1.2500000000000001E-2</v>
      </c>
      <c r="AA193">
        <v>0</v>
      </c>
      <c r="AB193">
        <v>89.81</v>
      </c>
      <c r="AC193">
        <v>9.8800000000000008</v>
      </c>
      <c r="AD193">
        <v>0</v>
      </c>
      <c r="AE193">
        <v>0</v>
      </c>
      <c r="AF193">
        <v>89.81</v>
      </c>
      <c r="AG193">
        <v>9.8800000000000008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0.01</v>
      </c>
      <c r="AU193" t="s">
        <v>12</v>
      </c>
      <c r="AV193">
        <v>0</v>
      </c>
      <c r="AW193">
        <v>2</v>
      </c>
      <c r="AX193">
        <v>42358421</v>
      </c>
      <c r="AY193">
        <v>1</v>
      </c>
      <c r="AZ193">
        <v>0</v>
      </c>
      <c r="BA193">
        <v>195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Y193*Source!I294</f>
        <v>1.7875E-3</v>
      </c>
      <c r="CY193">
        <f>AB193</f>
        <v>89.81</v>
      </c>
      <c r="CZ193">
        <f>AF193</f>
        <v>89.81</v>
      </c>
      <c r="DA193">
        <f>AJ193</f>
        <v>1</v>
      </c>
      <c r="DB193">
        <f>ROUND((ROUND(AT193*CZ193,2)*1.25),2)</f>
        <v>1.1299999999999999</v>
      </c>
      <c r="DC193">
        <f>ROUND((ROUND(AT193*AG193,2)*1.25),2)</f>
        <v>0.13</v>
      </c>
    </row>
    <row r="194" spans="1:107" x14ac:dyDescent="0.2">
      <c r="A194">
        <f>ROW(Source!A294)</f>
        <v>294</v>
      </c>
      <c r="B194">
        <v>39201625</v>
      </c>
      <c r="C194">
        <v>42358410</v>
      </c>
      <c r="D194">
        <v>26553912</v>
      </c>
      <c r="E194">
        <v>1</v>
      </c>
      <c r="F194">
        <v>1</v>
      </c>
      <c r="G194">
        <v>1</v>
      </c>
      <c r="H194">
        <v>2</v>
      </c>
      <c r="I194" t="s">
        <v>547</v>
      </c>
      <c r="J194" t="s">
        <v>548</v>
      </c>
      <c r="K194" t="s">
        <v>549</v>
      </c>
      <c r="L194">
        <v>26553684</v>
      </c>
      <c r="N194">
        <v>1013</v>
      </c>
      <c r="O194" t="s">
        <v>387</v>
      </c>
      <c r="P194" t="s">
        <v>387</v>
      </c>
      <c r="Q194">
        <v>1</v>
      </c>
      <c r="W194">
        <v>0</v>
      </c>
      <c r="X194">
        <v>-2064224424</v>
      </c>
      <c r="Y194">
        <v>1.2500000000000001E-2</v>
      </c>
      <c r="AA194">
        <v>0</v>
      </c>
      <c r="AB194">
        <v>1.7</v>
      </c>
      <c r="AC194">
        <v>0</v>
      </c>
      <c r="AD194">
        <v>0</v>
      </c>
      <c r="AE194">
        <v>0</v>
      </c>
      <c r="AF194">
        <v>1.7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0.01</v>
      </c>
      <c r="AU194" t="s">
        <v>12</v>
      </c>
      <c r="AV194">
        <v>0</v>
      </c>
      <c r="AW194">
        <v>2</v>
      </c>
      <c r="AX194">
        <v>42358422</v>
      </c>
      <c r="AY194">
        <v>1</v>
      </c>
      <c r="AZ194">
        <v>0</v>
      </c>
      <c r="BA194">
        <v>196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Y194*Source!I294</f>
        <v>1.7875E-3</v>
      </c>
      <c r="CY194">
        <f>AB194</f>
        <v>1.7</v>
      </c>
      <c r="CZ194">
        <f>AF194</f>
        <v>1.7</v>
      </c>
      <c r="DA194">
        <f>AJ194</f>
        <v>1</v>
      </c>
      <c r="DB194">
        <f>ROUND((ROUND(AT194*CZ194,2)*1.25),2)</f>
        <v>0.03</v>
      </c>
      <c r="DC194">
        <f>ROUND((ROUND(AT194*AG194,2)*1.25),2)</f>
        <v>0</v>
      </c>
    </row>
    <row r="195" spans="1:107" x14ac:dyDescent="0.2">
      <c r="A195">
        <f>ROW(Source!A294)</f>
        <v>294</v>
      </c>
      <c r="B195">
        <v>39201625</v>
      </c>
      <c r="C195">
        <v>42358410</v>
      </c>
      <c r="D195">
        <v>26555573</v>
      </c>
      <c r="E195">
        <v>1</v>
      </c>
      <c r="F195">
        <v>1</v>
      </c>
      <c r="G195">
        <v>1</v>
      </c>
      <c r="H195">
        <v>2</v>
      </c>
      <c r="I195" t="s">
        <v>550</v>
      </c>
      <c r="J195" t="s">
        <v>551</v>
      </c>
      <c r="K195" t="s">
        <v>552</v>
      </c>
      <c r="L195">
        <v>26553684</v>
      </c>
      <c r="N195">
        <v>1013</v>
      </c>
      <c r="O195" t="s">
        <v>387</v>
      </c>
      <c r="P195" t="s">
        <v>387</v>
      </c>
      <c r="Q195">
        <v>1</v>
      </c>
      <c r="W195">
        <v>0</v>
      </c>
      <c r="X195">
        <v>1583648764</v>
      </c>
      <c r="Y195">
        <v>0.8125</v>
      </c>
      <c r="AA195">
        <v>0</v>
      </c>
      <c r="AB195">
        <v>6.82</v>
      </c>
      <c r="AC195">
        <v>0</v>
      </c>
      <c r="AD195">
        <v>0</v>
      </c>
      <c r="AE195">
        <v>0</v>
      </c>
      <c r="AF195">
        <v>6.82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0.65</v>
      </c>
      <c r="AU195" t="s">
        <v>12</v>
      </c>
      <c r="AV195">
        <v>0</v>
      </c>
      <c r="AW195">
        <v>2</v>
      </c>
      <c r="AX195">
        <v>42358423</v>
      </c>
      <c r="AY195">
        <v>1</v>
      </c>
      <c r="AZ195">
        <v>0</v>
      </c>
      <c r="BA195">
        <v>197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Y195*Source!I294</f>
        <v>0.11618749999999999</v>
      </c>
      <c r="CY195">
        <f>AB195</f>
        <v>6.82</v>
      </c>
      <c r="CZ195">
        <f>AF195</f>
        <v>6.82</v>
      </c>
      <c r="DA195">
        <f>AJ195</f>
        <v>1</v>
      </c>
      <c r="DB195">
        <f>ROUND((ROUND(AT195*CZ195,2)*1.25),2)</f>
        <v>5.54</v>
      </c>
      <c r="DC195">
        <f>ROUND((ROUND(AT195*AG195,2)*1.25),2)</f>
        <v>0</v>
      </c>
    </row>
    <row r="196" spans="1:107" x14ac:dyDescent="0.2">
      <c r="A196">
        <f>ROW(Source!A294)</f>
        <v>294</v>
      </c>
      <c r="B196">
        <v>39201625</v>
      </c>
      <c r="C196">
        <v>42358410</v>
      </c>
      <c r="D196">
        <v>26555822</v>
      </c>
      <c r="E196">
        <v>1</v>
      </c>
      <c r="F196">
        <v>1</v>
      </c>
      <c r="G196">
        <v>1</v>
      </c>
      <c r="H196">
        <v>2</v>
      </c>
      <c r="I196" t="s">
        <v>461</v>
      </c>
      <c r="J196" t="s">
        <v>462</v>
      </c>
      <c r="K196" t="s">
        <v>463</v>
      </c>
      <c r="L196">
        <v>26553684</v>
      </c>
      <c r="N196">
        <v>1013</v>
      </c>
      <c r="O196" t="s">
        <v>387</v>
      </c>
      <c r="P196" t="s">
        <v>387</v>
      </c>
      <c r="Q196">
        <v>1</v>
      </c>
      <c r="W196">
        <v>0</v>
      </c>
      <c r="X196">
        <v>210745813</v>
      </c>
      <c r="Y196">
        <v>1.2500000000000001E-2</v>
      </c>
      <c r="AA196">
        <v>0</v>
      </c>
      <c r="AB196">
        <v>86.55</v>
      </c>
      <c r="AC196">
        <v>0</v>
      </c>
      <c r="AD196">
        <v>0</v>
      </c>
      <c r="AE196">
        <v>0</v>
      </c>
      <c r="AF196">
        <v>86.55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0.01</v>
      </c>
      <c r="AU196" t="s">
        <v>12</v>
      </c>
      <c r="AV196">
        <v>0</v>
      </c>
      <c r="AW196">
        <v>2</v>
      </c>
      <c r="AX196">
        <v>42358424</v>
      </c>
      <c r="AY196">
        <v>1</v>
      </c>
      <c r="AZ196">
        <v>0</v>
      </c>
      <c r="BA196">
        <v>198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Y196*Source!I294</f>
        <v>1.7875E-3</v>
      </c>
      <c r="CY196">
        <f>AB196</f>
        <v>86.55</v>
      </c>
      <c r="CZ196">
        <f>AF196</f>
        <v>86.55</v>
      </c>
      <c r="DA196">
        <f>AJ196</f>
        <v>1</v>
      </c>
      <c r="DB196">
        <f>ROUND((ROUND(AT196*CZ196,2)*1.25),2)</f>
        <v>1.0900000000000001</v>
      </c>
      <c r="DC196">
        <f>ROUND((ROUND(AT196*AG196,2)*1.25),2)</f>
        <v>0</v>
      </c>
    </row>
    <row r="197" spans="1:107" x14ac:dyDescent="0.2">
      <c r="A197">
        <f>ROW(Source!A294)</f>
        <v>294</v>
      </c>
      <c r="B197">
        <v>39201625</v>
      </c>
      <c r="C197">
        <v>42358410</v>
      </c>
      <c r="D197">
        <v>26558216</v>
      </c>
      <c r="E197">
        <v>1</v>
      </c>
      <c r="F197">
        <v>1</v>
      </c>
      <c r="G197">
        <v>1</v>
      </c>
      <c r="H197">
        <v>3</v>
      </c>
      <c r="I197" t="s">
        <v>561</v>
      </c>
      <c r="J197" t="s">
        <v>562</v>
      </c>
      <c r="K197" t="s">
        <v>563</v>
      </c>
      <c r="L197">
        <v>1348</v>
      </c>
      <c r="N197">
        <v>1009</v>
      </c>
      <c r="O197" t="s">
        <v>169</v>
      </c>
      <c r="P197" t="s">
        <v>169</v>
      </c>
      <c r="Q197">
        <v>1000</v>
      </c>
      <c r="W197">
        <v>0</v>
      </c>
      <c r="X197">
        <v>-1714998041</v>
      </c>
      <c r="Y197">
        <v>1.4E-3</v>
      </c>
      <c r="AA197">
        <v>6179.8</v>
      </c>
      <c r="AB197">
        <v>0</v>
      </c>
      <c r="AC197">
        <v>0</v>
      </c>
      <c r="AD197">
        <v>0</v>
      </c>
      <c r="AE197">
        <v>6179.8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0</v>
      </c>
      <c r="AQ197">
        <v>0</v>
      </c>
      <c r="AR197">
        <v>0</v>
      </c>
      <c r="AS197" t="s">
        <v>3</v>
      </c>
      <c r="AT197">
        <v>1.4E-3</v>
      </c>
      <c r="AU197" t="s">
        <v>3</v>
      </c>
      <c r="AV197">
        <v>0</v>
      </c>
      <c r="AW197">
        <v>2</v>
      </c>
      <c r="AX197">
        <v>42358425</v>
      </c>
      <c r="AY197">
        <v>1</v>
      </c>
      <c r="AZ197">
        <v>0</v>
      </c>
      <c r="BA197">
        <v>199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Y197*Source!I294</f>
        <v>2.0019999999999999E-4</v>
      </c>
      <c r="CY197">
        <f>AA197</f>
        <v>6179.8</v>
      </c>
      <c r="CZ197">
        <f>AE197</f>
        <v>6179.8</v>
      </c>
      <c r="DA197">
        <f>AI197</f>
        <v>1</v>
      </c>
      <c r="DB197">
        <f>ROUND(ROUND(AT197*CZ197,2),2)</f>
        <v>8.65</v>
      </c>
      <c r="DC197">
        <f>ROUND(ROUND(AT197*AG197,2),2)</f>
        <v>0</v>
      </c>
    </row>
    <row r="198" spans="1:107" x14ac:dyDescent="0.2">
      <c r="A198">
        <f>ROW(Source!A294)</f>
        <v>294</v>
      </c>
      <c r="B198">
        <v>39201625</v>
      </c>
      <c r="C198">
        <v>42358410</v>
      </c>
      <c r="D198">
        <v>26573459</v>
      </c>
      <c r="E198">
        <v>1</v>
      </c>
      <c r="F198">
        <v>1</v>
      </c>
      <c r="G198">
        <v>1</v>
      </c>
      <c r="H198">
        <v>3</v>
      </c>
      <c r="I198" t="s">
        <v>564</v>
      </c>
      <c r="J198" t="s">
        <v>565</v>
      </c>
      <c r="K198" t="s">
        <v>566</v>
      </c>
      <c r="L198">
        <v>1348</v>
      </c>
      <c r="N198">
        <v>1009</v>
      </c>
      <c r="O198" t="s">
        <v>169</v>
      </c>
      <c r="P198" t="s">
        <v>169</v>
      </c>
      <c r="Q198">
        <v>1000</v>
      </c>
      <c r="W198">
        <v>0</v>
      </c>
      <c r="X198">
        <v>-1999880210</v>
      </c>
      <c r="Y198">
        <v>1.9E-2</v>
      </c>
      <c r="AA198">
        <v>14117.37</v>
      </c>
      <c r="AB198">
        <v>0</v>
      </c>
      <c r="AC198">
        <v>0</v>
      </c>
      <c r="AD198">
        <v>0</v>
      </c>
      <c r="AE198">
        <v>14117.37</v>
      </c>
      <c r="AF198">
        <v>0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0</v>
      </c>
      <c r="AQ198">
        <v>0</v>
      </c>
      <c r="AR198">
        <v>0</v>
      </c>
      <c r="AS198" t="s">
        <v>3</v>
      </c>
      <c r="AT198">
        <v>1.9E-2</v>
      </c>
      <c r="AU198" t="s">
        <v>3</v>
      </c>
      <c r="AV198">
        <v>0</v>
      </c>
      <c r="AW198">
        <v>2</v>
      </c>
      <c r="AX198">
        <v>42358426</v>
      </c>
      <c r="AY198">
        <v>1</v>
      </c>
      <c r="AZ198">
        <v>0</v>
      </c>
      <c r="BA198">
        <v>200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Y198*Source!I294</f>
        <v>2.7169999999999998E-3</v>
      </c>
      <c r="CY198">
        <f>AA198</f>
        <v>14117.37</v>
      </c>
      <c r="CZ198">
        <f>AE198</f>
        <v>14117.37</v>
      </c>
      <c r="DA198">
        <f>AI198</f>
        <v>1</v>
      </c>
      <c r="DB198">
        <f>ROUND(ROUND(AT198*CZ198,2),2)</f>
        <v>268.23</v>
      </c>
      <c r="DC198">
        <f>ROUND(ROUND(AT198*AG198,2),2)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0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39202237</v>
      </c>
      <c r="C1">
        <v>39202231</v>
      </c>
      <c r="D1">
        <v>24233887</v>
      </c>
      <c r="E1">
        <v>1</v>
      </c>
      <c r="F1">
        <v>1</v>
      </c>
      <c r="G1">
        <v>1</v>
      </c>
      <c r="H1">
        <v>1</v>
      </c>
      <c r="I1" t="s">
        <v>378</v>
      </c>
      <c r="J1" t="s">
        <v>3</v>
      </c>
      <c r="K1" t="s">
        <v>379</v>
      </c>
      <c r="L1">
        <v>1476</v>
      </c>
      <c r="N1">
        <v>1013</v>
      </c>
      <c r="O1" t="s">
        <v>380</v>
      </c>
      <c r="P1" t="s">
        <v>381</v>
      </c>
      <c r="Q1">
        <v>1</v>
      </c>
      <c r="X1">
        <v>77.72</v>
      </c>
      <c r="Y1">
        <v>0</v>
      </c>
      <c r="Z1">
        <v>0</v>
      </c>
      <c r="AA1">
        <v>0</v>
      </c>
      <c r="AB1">
        <v>6.58</v>
      </c>
      <c r="AC1">
        <v>0</v>
      </c>
      <c r="AD1">
        <v>1</v>
      </c>
      <c r="AE1">
        <v>1</v>
      </c>
      <c r="AF1" t="s">
        <v>3</v>
      </c>
      <c r="AG1">
        <v>77.72</v>
      </c>
      <c r="AH1">
        <v>2</v>
      </c>
      <c r="AI1">
        <v>39202232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39202238</v>
      </c>
      <c r="C2">
        <v>39202231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382</v>
      </c>
      <c r="L2">
        <v>608254</v>
      </c>
      <c r="N2">
        <v>1013</v>
      </c>
      <c r="O2" t="s">
        <v>383</v>
      </c>
      <c r="P2" t="s">
        <v>383</v>
      </c>
      <c r="Q2">
        <v>1</v>
      </c>
      <c r="X2">
        <v>16.850000000000001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16.850000000000001</v>
      </c>
      <c r="AH2">
        <v>2</v>
      </c>
      <c r="AI2">
        <v>39202233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39202239</v>
      </c>
      <c r="C3">
        <v>39202231</v>
      </c>
      <c r="D3">
        <v>26554108</v>
      </c>
      <c r="E3">
        <v>1</v>
      </c>
      <c r="F3">
        <v>1</v>
      </c>
      <c r="G3">
        <v>1</v>
      </c>
      <c r="H3">
        <v>2</v>
      </c>
      <c r="I3" t="s">
        <v>384</v>
      </c>
      <c r="J3" t="s">
        <v>385</v>
      </c>
      <c r="K3" t="s">
        <v>386</v>
      </c>
      <c r="L3">
        <v>26553684</v>
      </c>
      <c r="N3">
        <v>1013</v>
      </c>
      <c r="O3" t="s">
        <v>387</v>
      </c>
      <c r="P3" t="s">
        <v>387</v>
      </c>
      <c r="Q3">
        <v>1</v>
      </c>
      <c r="X3">
        <v>12.34</v>
      </c>
      <c r="Y3">
        <v>0</v>
      </c>
      <c r="Z3">
        <v>125.46</v>
      </c>
      <c r="AA3">
        <v>13.26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12.34</v>
      </c>
      <c r="AH3">
        <v>2</v>
      </c>
      <c r="AI3">
        <v>39202234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ROW(Source!A32)</f>
        <v>32</v>
      </c>
      <c r="B4">
        <v>39202240</v>
      </c>
      <c r="C4">
        <v>39202231</v>
      </c>
      <c r="D4">
        <v>26554179</v>
      </c>
      <c r="E4">
        <v>1</v>
      </c>
      <c r="F4">
        <v>1</v>
      </c>
      <c r="G4">
        <v>1</v>
      </c>
      <c r="H4">
        <v>2</v>
      </c>
      <c r="I4" t="s">
        <v>388</v>
      </c>
      <c r="J4" t="s">
        <v>389</v>
      </c>
      <c r="K4" t="s">
        <v>390</v>
      </c>
      <c r="L4">
        <v>26553684</v>
      </c>
      <c r="N4">
        <v>1013</v>
      </c>
      <c r="O4" t="s">
        <v>387</v>
      </c>
      <c r="P4" t="s">
        <v>387</v>
      </c>
      <c r="Q4">
        <v>1</v>
      </c>
      <c r="X4">
        <v>4.51</v>
      </c>
      <c r="Y4">
        <v>0</v>
      </c>
      <c r="Z4">
        <v>79.75</v>
      </c>
      <c r="AA4">
        <v>13.26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4.51</v>
      </c>
      <c r="AH4">
        <v>2</v>
      </c>
      <c r="AI4">
        <v>39202235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39202241</v>
      </c>
      <c r="C5">
        <v>39202231</v>
      </c>
      <c r="D5">
        <v>26554263</v>
      </c>
      <c r="E5">
        <v>1</v>
      </c>
      <c r="F5">
        <v>1</v>
      </c>
      <c r="G5">
        <v>1</v>
      </c>
      <c r="H5">
        <v>2</v>
      </c>
      <c r="I5" t="s">
        <v>391</v>
      </c>
      <c r="J5" t="s">
        <v>392</v>
      </c>
      <c r="K5" t="s">
        <v>393</v>
      </c>
      <c r="L5">
        <v>26553684</v>
      </c>
      <c r="N5">
        <v>1013</v>
      </c>
      <c r="O5" t="s">
        <v>387</v>
      </c>
      <c r="P5" t="s">
        <v>387</v>
      </c>
      <c r="Q5">
        <v>1</v>
      </c>
      <c r="X5">
        <v>1.98</v>
      </c>
      <c r="Y5">
        <v>0</v>
      </c>
      <c r="Z5">
        <v>8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1.98</v>
      </c>
      <c r="AH5">
        <v>2</v>
      </c>
      <c r="AI5">
        <v>39202236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39202250</v>
      </c>
      <c r="C6">
        <v>39202242</v>
      </c>
      <c r="D6">
        <v>24225432</v>
      </c>
      <c r="E6">
        <v>1</v>
      </c>
      <c r="F6">
        <v>1</v>
      </c>
      <c r="G6">
        <v>1</v>
      </c>
      <c r="H6">
        <v>1</v>
      </c>
      <c r="I6" t="s">
        <v>394</v>
      </c>
      <c r="J6" t="s">
        <v>3</v>
      </c>
      <c r="K6" t="s">
        <v>395</v>
      </c>
      <c r="L6">
        <v>1476</v>
      </c>
      <c r="N6">
        <v>1013</v>
      </c>
      <c r="O6" t="s">
        <v>380</v>
      </c>
      <c r="P6" t="s">
        <v>381</v>
      </c>
      <c r="Q6">
        <v>1</v>
      </c>
      <c r="X6">
        <v>0.42</v>
      </c>
      <c r="Y6">
        <v>0</v>
      </c>
      <c r="Z6">
        <v>0</v>
      </c>
      <c r="AA6">
        <v>0</v>
      </c>
      <c r="AB6">
        <v>6.88</v>
      </c>
      <c r="AC6">
        <v>0</v>
      </c>
      <c r="AD6">
        <v>1</v>
      </c>
      <c r="AE6">
        <v>1</v>
      </c>
      <c r="AF6" t="s">
        <v>3</v>
      </c>
      <c r="AG6">
        <v>0.42</v>
      </c>
      <c r="AH6">
        <v>2</v>
      </c>
      <c r="AI6">
        <v>39202243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ROW(Source!A33)</f>
        <v>33</v>
      </c>
      <c r="B7">
        <v>39202251</v>
      </c>
      <c r="C7">
        <v>39202242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382</v>
      </c>
      <c r="L7">
        <v>608254</v>
      </c>
      <c r="N7">
        <v>1013</v>
      </c>
      <c r="O7" t="s">
        <v>383</v>
      </c>
      <c r="P7" t="s">
        <v>383</v>
      </c>
      <c r="Q7">
        <v>1</v>
      </c>
      <c r="X7">
        <v>0.91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3</v>
      </c>
      <c r="AG7">
        <v>0.91</v>
      </c>
      <c r="AH7">
        <v>2</v>
      </c>
      <c r="AI7">
        <v>39202244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ROW(Source!A33)</f>
        <v>33</v>
      </c>
      <c r="B8">
        <v>39202252</v>
      </c>
      <c r="C8">
        <v>39202242</v>
      </c>
      <c r="D8">
        <v>26554485</v>
      </c>
      <c r="E8">
        <v>1</v>
      </c>
      <c r="F8">
        <v>1</v>
      </c>
      <c r="G8">
        <v>1</v>
      </c>
      <c r="H8">
        <v>2</v>
      </c>
      <c r="I8" t="s">
        <v>396</v>
      </c>
      <c r="J8" t="s">
        <v>397</v>
      </c>
      <c r="K8" t="s">
        <v>398</v>
      </c>
      <c r="L8">
        <v>26553684</v>
      </c>
      <c r="N8">
        <v>1013</v>
      </c>
      <c r="O8" t="s">
        <v>387</v>
      </c>
      <c r="P8" t="s">
        <v>387</v>
      </c>
      <c r="Q8">
        <v>1</v>
      </c>
      <c r="X8">
        <v>0.44</v>
      </c>
      <c r="Y8">
        <v>0</v>
      </c>
      <c r="Z8">
        <v>86.28</v>
      </c>
      <c r="AA8">
        <v>11.38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0.44</v>
      </c>
      <c r="AH8">
        <v>2</v>
      </c>
      <c r="AI8">
        <v>39202245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ROW(Source!A33)</f>
        <v>33</v>
      </c>
      <c r="B9">
        <v>39202253</v>
      </c>
      <c r="C9">
        <v>39202242</v>
      </c>
      <c r="D9">
        <v>26554486</v>
      </c>
      <c r="E9">
        <v>1</v>
      </c>
      <c r="F9">
        <v>1</v>
      </c>
      <c r="G9">
        <v>1</v>
      </c>
      <c r="H9">
        <v>2</v>
      </c>
      <c r="I9" t="s">
        <v>399</v>
      </c>
      <c r="J9" t="s">
        <v>400</v>
      </c>
      <c r="K9" t="s">
        <v>401</v>
      </c>
      <c r="L9">
        <v>26553684</v>
      </c>
      <c r="N9">
        <v>1013</v>
      </c>
      <c r="O9" t="s">
        <v>387</v>
      </c>
      <c r="P9" t="s">
        <v>387</v>
      </c>
      <c r="Q9">
        <v>1</v>
      </c>
      <c r="X9">
        <v>0.03</v>
      </c>
      <c r="Y9">
        <v>0</v>
      </c>
      <c r="Z9">
        <v>110</v>
      </c>
      <c r="AA9">
        <v>11.38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0.03</v>
      </c>
      <c r="AH9">
        <v>2</v>
      </c>
      <c r="AI9">
        <v>39202246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39202254</v>
      </c>
      <c r="C10">
        <v>39202242</v>
      </c>
      <c r="D10">
        <v>26554539</v>
      </c>
      <c r="E10">
        <v>1</v>
      </c>
      <c r="F10">
        <v>1</v>
      </c>
      <c r="G10">
        <v>1</v>
      </c>
      <c r="H10">
        <v>2</v>
      </c>
      <c r="I10" t="s">
        <v>402</v>
      </c>
      <c r="J10" t="s">
        <v>403</v>
      </c>
      <c r="K10" t="s">
        <v>404</v>
      </c>
      <c r="L10">
        <v>26553684</v>
      </c>
      <c r="N10">
        <v>1013</v>
      </c>
      <c r="O10" t="s">
        <v>387</v>
      </c>
      <c r="P10" t="s">
        <v>387</v>
      </c>
      <c r="Q10">
        <v>1</v>
      </c>
      <c r="X10">
        <v>0.44</v>
      </c>
      <c r="Y10">
        <v>0</v>
      </c>
      <c r="Z10">
        <v>1411.2</v>
      </c>
      <c r="AA10">
        <v>13.26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0.44</v>
      </c>
      <c r="AH10">
        <v>2</v>
      </c>
      <c r="AI10">
        <v>39202247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ROW(Source!A33)</f>
        <v>33</v>
      </c>
      <c r="B11">
        <v>39202255</v>
      </c>
      <c r="C11">
        <v>39202242</v>
      </c>
      <c r="D11">
        <v>26555833</v>
      </c>
      <c r="E11">
        <v>1</v>
      </c>
      <c r="F11">
        <v>1</v>
      </c>
      <c r="G11">
        <v>1</v>
      </c>
      <c r="H11">
        <v>2</v>
      </c>
      <c r="I11" t="s">
        <v>405</v>
      </c>
      <c r="J11" t="s">
        <v>406</v>
      </c>
      <c r="K11" t="s">
        <v>407</v>
      </c>
      <c r="L11">
        <v>26553684</v>
      </c>
      <c r="N11">
        <v>1013</v>
      </c>
      <c r="O11" t="s">
        <v>387</v>
      </c>
      <c r="P11" t="s">
        <v>387</v>
      </c>
      <c r="Q11">
        <v>1</v>
      </c>
      <c r="X11">
        <v>0.35</v>
      </c>
      <c r="Y11">
        <v>0</v>
      </c>
      <c r="Z11">
        <v>137.72999999999999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0.35</v>
      </c>
      <c r="AH11">
        <v>2</v>
      </c>
      <c r="AI11">
        <v>39202248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ROW(Source!A33)</f>
        <v>33</v>
      </c>
      <c r="B12">
        <v>39202256</v>
      </c>
      <c r="C12">
        <v>39202242</v>
      </c>
      <c r="D12">
        <v>26608102</v>
      </c>
      <c r="E12">
        <v>1</v>
      </c>
      <c r="F12">
        <v>1</v>
      </c>
      <c r="G12">
        <v>1</v>
      </c>
      <c r="H12">
        <v>3</v>
      </c>
      <c r="I12" t="s">
        <v>408</v>
      </c>
      <c r="J12" t="s">
        <v>409</v>
      </c>
      <c r="K12" t="s">
        <v>410</v>
      </c>
      <c r="L12">
        <v>1339</v>
      </c>
      <c r="N12">
        <v>1007</v>
      </c>
      <c r="O12" t="s">
        <v>130</v>
      </c>
      <c r="P12" t="s">
        <v>130</v>
      </c>
      <c r="Q12">
        <v>1</v>
      </c>
      <c r="X12">
        <v>0.17499999999999999</v>
      </c>
      <c r="Y12">
        <v>2.2599999999999998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0.17499999999999999</v>
      </c>
      <c r="AH12">
        <v>2</v>
      </c>
      <c r="AI12">
        <v>39202249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39202262</v>
      </c>
      <c r="C13">
        <v>39202257</v>
      </c>
      <c r="D13">
        <v>24225547</v>
      </c>
      <c r="E13">
        <v>1</v>
      </c>
      <c r="F13">
        <v>1</v>
      </c>
      <c r="G13">
        <v>1</v>
      </c>
      <c r="H13">
        <v>1</v>
      </c>
      <c r="I13" t="s">
        <v>411</v>
      </c>
      <c r="J13" t="s">
        <v>3</v>
      </c>
      <c r="K13" t="s">
        <v>412</v>
      </c>
      <c r="L13">
        <v>1476</v>
      </c>
      <c r="N13">
        <v>1013</v>
      </c>
      <c r="O13" t="s">
        <v>380</v>
      </c>
      <c r="P13" t="s">
        <v>381</v>
      </c>
      <c r="Q13">
        <v>1</v>
      </c>
      <c r="X13">
        <v>68.260000000000005</v>
      </c>
      <c r="Y13">
        <v>0</v>
      </c>
      <c r="Z13">
        <v>0</v>
      </c>
      <c r="AA13">
        <v>0</v>
      </c>
      <c r="AB13">
        <v>7.03</v>
      </c>
      <c r="AC13">
        <v>0</v>
      </c>
      <c r="AD13">
        <v>1</v>
      </c>
      <c r="AE13">
        <v>1</v>
      </c>
      <c r="AF13" t="s">
        <v>3</v>
      </c>
      <c r="AG13">
        <v>68.260000000000005</v>
      </c>
      <c r="AH13">
        <v>2</v>
      </c>
      <c r="AI13">
        <v>39202258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39202263</v>
      </c>
      <c r="C14">
        <v>39202257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26</v>
      </c>
      <c r="J14" t="s">
        <v>3</v>
      </c>
      <c r="K14" t="s">
        <v>382</v>
      </c>
      <c r="L14">
        <v>608254</v>
      </c>
      <c r="N14">
        <v>1013</v>
      </c>
      <c r="O14" t="s">
        <v>383</v>
      </c>
      <c r="P14" t="s">
        <v>383</v>
      </c>
      <c r="Q14">
        <v>1</v>
      </c>
      <c r="X14">
        <v>9.4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2</v>
      </c>
      <c r="AF14" t="s">
        <v>3</v>
      </c>
      <c r="AG14">
        <v>9.4</v>
      </c>
      <c r="AH14">
        <v>2</v>
      </c>
      <c r="AI14">
        <v>39202259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39202264</v>
      </c>
      <c r="C15">
        <v>39202257</v>
      </c>
      <c r="D15">
        <v>26554068</v>
      </c>
      <c r="E15">
        <v>1</v>
      </c>
      <c r="F15">
        <v>1</v>
      </c>
      <c r="G15">
        <v>1</v>
      </c>
      <c r="H15">
        <v>2</v>
      </c>
      <c r="I15" t="s">
        <v>413</v>
      </c>
      <c r="J15" t="s">
        <v>414</v>
      </c>
      <c r="K15" t="s">
        <v>415</v>
      </c>
      <c r="L15">
        <v>26553684</v>
      </c>
      <c r="N15">
        <v>1013</v>
      </c>
      <c r="O15" t="s">
        <v>387</v>
      </c>
      <c r="P15" t="s">
        <v>387</v>
      </c>
      <c r="Q15">
        <v>1</v>
      </c>
      <c r="X15">
        <v>9.4</v>
      </c>
      <c r="Y15">
        <v>0</v>
      </c>
      <c r="Z15">
        <v>89.82</v>
      </c>
      <c r="AA15">
        <v>9.8800000000000008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9.4</v>
      </c>
      <c r="AH15">
        <v>2</v>
      </c>
      <c r="AI15">
        <v>39202260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39202265</v>
      </c>
      <c r="C16">
        <v>39202257</v>
      </c>
      <c r="D16">
        <v>26555456</v>
      </c>
      <c r="E16">
        <v>1</v>
      </c>
      <c r="F16">
        <v>1</v>
      </c>
      <c r="G16">
        <v>1</v>
      </c>
      <c r="H16">
        <v>2</v>
      </c>
      <c r="I16" t="s">
        <v>416</v>
      </c>
      <c r="J16" t="s">
        <v>417</v>
      </c>
      <c r="K16" t="s">
        <v>418</v>
      </c>
      <c r="L16">
        <v>26553684</v>
      </c>
      <c r="N16">
        <v>1013</v>
      </c>
      <c r="O16" t="s">
        <v>387</v>
      </c>
      <c r="P16" t="s">
        <v>387</v>
      </c>
      <c r="Q16">
        <v>1</v>
      </c>
      <c r="X16">
        <v>28.2</v>
      </c>
      <c r="Y16">
        <v>0</v>
      </c>
      <c r="Z16">
        <v>1.53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28.2</v>
      </c>
      <c r="AH16">
        <v>2</v>
      </c>
      <c r="AI16">
        <v>39202261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39202283</v>
      </c>
      <c r="C17">
        <v>39202277</v>
      </c>
      <c r="D17">
        <v>24233608</v>
      </c>
      <c r="E17">
        <v>1</v>
      </c>
      <c r="F17">
        <v>1</v>
      </c>
      <c r="G17">
        <v>1</v>
      </c>
      <c r="H17">
        <v>1</v>
      </c>
      <c r="I17" t="s">
        <v>419</v>
      </c>
      <c r="J17" t="s">
        <v>3</v>
      </c>
      <c r="K17" t="s">
        <v>420</v>
      </c>
      <c r="L17">
        <v>1476</v>
      </c>
      <c r="N17">
        <v>1013</v>
      </c>
      <c r="O17" t="s">
        <v>380</v>
      </c>
      <c r="P17" t="s">
        <v>381</v>
      </c>
      <c r="Q17">
        <v>1</v>
      </c>
      <c r="X17">
        <v>6.4</v>
      </c>
      <c r="Y17">
        <v>0</v>
      </c>
      <c r="Z17">
        <v>0</v>
      </c>
      <c r="AA17">
        <v>0</v>
      </c>
      <c r="AB17">
        <v>6.35</v>
      </c>
      <c r="AC17">
        <v>0</v>
      </c>
      <c r="AD17">
        <v>1</v>
      </c>
      <c r="AE17">
        <v>1</v>
      </c>
      <c r="AF17" t="s">
        <v>13</v>
      </c>
      <c r="AG17">
        <v>7.3599999999999994</v>
      </c>
      <c r="AH17">
        <v>2</v>
      </c>
      <c r="AI17">
        <v>39202278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39202284</v>
      </c>
      <c r="C18">
        <v>39202277</v>
      </c>
      <c r="D18">
        <v>121548</v>
      </c>
      <c r="E18">
        <v>1</v>
      </c>
      <c r="F18">
        <v>1</v>
      </c>
      <c r="G18">
        <v>1</v>
      </c>
      <c r="H18">
        <v>1</v>
      </c>
      <c r="I18" t="s">
        <v>26</v>
      </c>
      <c r="J18" t="s">
        <v>3</v>
      </c>
      <c r="K18" t="s">
        <v>382</v>
      </c>
      <c r="L18">
        <v>608254</v>
      </c>
      <c r="N18">
        <v>1013</v>
      </c>
      <c r="O18" t="s">
        <v>383</v>
      </c>
      <c r="P18" t="s">
        <v>383</v>
      </c>
      <c r="Q18">
        <v>1</v>
      </c>
      <c r="X18">
        <v>18.559999999999999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2</v>
      </c>
      <c r="AF18" t="s">
        <v>12</v>
      </c>
      <c r="AG18">
        <v>23.2</v>
      </c>
      <c r="AH18">
        <v>2</v>
      </c>
      <c r="AI18">
        <v>39202279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39202285</v>
      </c>
      <c r="C19">
        <v>39202277</v>
      </c>
      <c r="D19">
        <v>26554109</v>
      </c>
      <c r="E19">
        <v>1</v>
      </c>
      <c r="F19">
        <v>1</v>
      </c>
      <c r="G19">
        <v>1</v>
      </c>
      <c r="H19">
        <v>2</v>
      </c>
      <c r="I19" t="s">
        <v>421</v>
      </c>
      <c r="J19" t="s">
        <v>422</v>
      </c>
      <c r="K19" t="s">
        <v>423</v>
      </c>
      <c r="L19">
        <v>26553684</v>
      </c>
      <c r="N19">
        <v>1013</v>
      </c>
      <c r="O19" t="s">
        <v>387</v>
      </c>
      <c r="P19" t="s">
        <v>387</v>
      </c>
      <c r="Q19">
        <v>1</v>
      </c>
      <c r="X19">
        <v>14.16</v>
      </c>
      <c r="Y19">
        <v>0</v>
      </c>
      <c r="Z19">
        <v>122.66</v>
      </c>
      <c r="AA19">
        <v>13.26</v>
      </c>
      <c r="AB19">
        <v>0</v>
      </c>
      <c r="AC19">
        <v>0</v>
      </c>
      <c r="AD19">
        <v>1</v>
      </c>
      <c r="AE19">
        <v>0</v>
      </c>
      <c r="AF19" t="s">
        <v>12</v>
      </c>
      <c r="AG19">
        <v>17.7</v>
      </c>
      <c r="AH19">
        <v>2</v>
      </c>
      <c r="AI19">
        <v>39202280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ROW(Source!A35)</f>
        <v>35</v>
      </c>
      <c r="B20">
        <v>39202286</v>
      </c>
      <c r="C20">
        <v>39202277</v>
      </c>
      <c r="D20">
        <v>26554179</v>
      </c>
      <c r="E20">
        <v>1</v>
      </c>
      <c r="F20">
        <v>1</v>
      </c>
      <c r="G20">
        <v>1</v>
      </c>
      <c r="H20">
        <v>2</v>
      </c>
      <c r="I20" t="s">
        <v>388</v>
      </c>
      <c r="J20" t="s">
        <v>389</v>
      </c>
      <c r="K20" t="s">
        <v>390</v>
      </c>
      <c r="L20">
        <v>26553684</v>
      </c>
      <c r="N20">
        <v>1013</v>
      </c>
      <c r="O20" t="s">
        <v>387</v>
      </c>
      <c r="P20" t="s">
        <v>387</v>
      </c>
      <c r="Q20">
        <v>1</v>
      </c>
      <c r="X20">
        <v>4.4000000000000004</v>
      </c>
      <c r="Y20">
        <v>0</v>
      </c>
      <c r="Z20">
        <v>79.75</v>
      </c>
      <c r="AA20">
        <v>13.26</v>
      </c>
      <c r="AB20">
        <v>0</v>
      </c>
      <c r="AC20">
        <v>0</v>
      </c>
      <c r="AD20">
        <v>1</v>
      </c>
      <c r="AE20">
        <v>0</v>
      </c>
      <c r="AF20" t="s">
        <v>12</v>
      </c>
      <c r="AG20">
        <v>5.5</v>
      </c>
      <c r="AH20">
        <v>2</v>
      </c>
      <c r="AI20">
        <v>39202281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39202287</v>
      </c>
      <c r="C21">
        <v>39202277</v>
      </c>
      <c r="D21">
        <v>26607555</v>
      </c>
      <c r="E21">
        <v>1</v>
      </c>
      <c r="F21">
        <v>1</v>
      </c>
      <c r="G21">
        <v>1</v>
      </c>
      <c r="H21">
        <v>3</v>
      </c>
      <c r="I21" t="s">
        <v>424</v>
      </c>
      <c r="J21" t="s">
        <v>425</v>
      </c>
      <c r="K21" t="s">
        <v>426</v>
      </c>
      <c r="L21">
        <v>1339</v>
      </c>
      <c r="N21">
        <v>1007</v>
      </c>
      <c r="O21" t="s">
        <v>130</v>
      </c>
      <c r="P21" t="s">
        <v>130</v>
      </c>
      <c r="Q21">
        <v>1</v>
      </c>
      <c r="X21">
        <v>0.03</v>
      </c>
      <c r="Y21">
        <v>121.11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0.03</v>
      </c>
      <c r="AH21">
        <v>2</v>
      </c>
      <c r="AI21">
        <v>39202282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ROW(Source!A108)</f>
        <v>108</v>
      </c>
      <c r="B22">
        <v>39202300</v>
      </c>
      <c r="C22">
        <v>39202291</v>
      </c>
      <c r="D22">
        <v>24233700</v>
      </c>
      <c r="E22">
        <v>1</v>
      </c>
      <c r="F22">
        <v>1</v>
      </c>
      <c r="G22">
        <v>1</v>
      </c>
      <c r="H22">
        <v>1</v>
      </c>
      <c r="I22" t="s">
        <v>427</v>
      </c>
      <c r="J22" t="s">
        <v>3</v>
      </c>
      <c r="K22" t="s">
        <v>428</v>
      </c>
      <c r="L22">
        <v>1476</v>
      </c>
      <c r="N22">
        <v>1013</v>
      </c>
      <c r="O22" t="s">
        <v>380</v>
      </c>
      <c r="P22" t="s">
        <v>381</v>
      </c>
      <c r="Q22">
        <v>1</v>
      </c>
      <c r="X22">
        <v>15.72</v>
      </c>
      <c r="Y22">
        <v>0</v>
      </c>
      <c r="Z22">
        <v>0</v>
      </c>
      <c r="AA22">
        <v>0</v>
      </c>
      <c r="AB22">
        <v>6.52</v>
      </c>
      <c r="AC22">
        <v>0</v>
      </c>
      <c r="AD22">
        <v>1</v>
      </c>
      <c r="AE22">
        <v>1</v>
      </c>
      <c r="AF22" t="s">
        <v>13</v>
      </c>
      <c r="AG22">
        <v>18.077999999999999</v>
      </c>
      <c r="AH22">
        <v>2</v>
      </c>
      <c r="AI22">
        <v>39202292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ROW(Source!A108)</f>
        <v>108</v>
      </c>
      <c r="B23">
        <v>39202301</v>
      </c>
      <c r="C23">
        <v>39202291</v>
      </c>
      <c r="D23">
        <v>121548</v>
      </c>
      <c r="E23">
        <v>1</v>
      </c>
      <c r="F23">
        <v>1</v>
      </c>
      <c r="G23">
        <v>1</v>
      </c>
      <c r="H23">
        <v>1</v>
      </c>
      <c r="I23" t="s">
        <v>26</v>
      </c>
      <c r="J23" t="s">
        <v>3</v>
      </c>
      <c r="K23" t="s">
        <v>382</v>
      </c>
      <c r="L23">
        <v>608254</v>
      </c>
      <c r="N23">
        <v>1013</v>
      </c>
      <c r="O23" t="s">
        <v>383</v>
      </c>
      <c r="P23" t="s">
        <v>383</v>
      </c>
      <c r="Q23">
        <v>1</v>
      </c>
      <c r="X23">
        <v>13.88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2</v>
      </c>
      <c r="AF23" t="s">
        <v>12</v>
      </c>
      <c r="AG23">
        <v>17.350000000000001</v>
      </c>
      <c r="AH23">
        <v>2</v>
      </c>
      <c r="AI23">
        <v>39202293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ROW(Source!A108)</f>
        <v>108</v>
      </c>
      <c r="B24">
        <v>39202302</v>
      </c>
      <c r="C24">
        <v>39202291</v>
      </c>
      <c r="D24">
        <v>26553886</v>
      </c>
      <c r="E24">
        <v>1</v>
      </c>
      <c r="F24">
        <v>1</v>
      </c>
      <c r="G24">
        <v>1</v>
      </c>
      <c r="H24">
        <v>2</v>
      </c>
      <c r="I24" t="s">
        <v>429</v>
      </c>
      <c r="J24" t="s">
        <v>430</v>
      </c>
      <c r="K24" t="s">
        <v>431</v>
      </c>
      <c r="L24">
        <v>26553684</v>
      </c>
      <c r="N24">
        <v>1013</v>
      </c>
      <c r="O24" t="s">
        <v>387</v>
      </c>
      <c r="P24" t="s">
        <v>387</v>
      </c>
      <c r="Q24">
        <v>1</v>
      </c>
      <c r="X24">
        <v>4.29</v>
      </c>
      <c r="Y24">
        <v>0</v>
      </c>
      <c r="Z24">
        <v>89.81</v>
      </c>
      <c r="AA24">
        <v>9.8800000000000008</v>
      </c>
      <c r="AB24">
        <v>0</v>
      </c>
      <c r="AC24">
        <v>0</v>
      </c>
      <c r="AD24">
        <v>1</v>
      </c>
      <c r="AE24">
        <v>0</v>
      </c>
      <c r="AF24" t="s">
        <v>12</v>
      </c>
      <c r="AG24">
        <v>5.3624999999999998</v>
      </c>
      <c r="AH24">
        <v>2</v>
      </c>
      <c r="AI24">
        <v>39202294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ROW(Source!A108)</f>
        <v>108</v>
      </c>
      <c r="B25">
        <v>39202303</v>
      </c>
      <c r="C25">
        <v>39202291</v>
      </c>
      <c r="D25">
        <v>26554394</v>
      </c>
      <c r="E25">
        <v>1</v>
      </c>
      <c r="F25">
        <v>1</v>
      </c>
      <c r="G25">
        <v>1</v>
      </c>
      <c r="H25">
        <v>2</v>
      </c>
      <c r="I25" t="s">
        <v>432</v>
      </c>
      <c r="J25" t="s">
        <v>433</v>
      </c>
      <c r="K25" t="s">
        <v>434</v>
      </c>
      <c r="L25">
        <v>26553684</v>
      </c>
      <c r="N25">
        <v>1013</v>
      </c>
      <c r="O25" t="s">
        <v>387</v>
      </c>
      <c r="P25" t="s">
        <v>387</v>
      </c>
      <c r="Q25">
        <v>1</v>
      </c>
      <c r="X25">
        <v>1.77</v>
      </c>
      <c r="Y25">
        <v>0</v>
      </c>
      <c r="Z25">
        <v>122.76</v>
      </c>
      <c r="AA25">
        <v>13.26</v>
      </c>
      <c r="AB25">
        <v>0</v>
      </c>
      <c r="AC25">
        <v>0</v>
      </c>
      <c r="AD25">
        <v>1</v>
      </c>
      <c r="AE25">
        <v>0</v>
      </c>
      <c r="AF25" t="s">
        <v>12</v>
      </c>
      <c r="AG25">
        <v>2.2124999999999999</v>
      </c>
      <c r="AH25">
        <v>2</v>
      </c>
      <c r="AI25">
        <v>39202295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ROW(Source!A108)</f>
        <v>108</v>
      </c>
      <c r="B26">
        <v>39202304</v>
      </c>
      <c r="C26">
        <v>39202291</v>
      </c>
      <c r="D26">
        <v>26554425</v>
      </c>
      <c r="E26">
        <v>1</v>
      </c>
      <c r="F26">
        <v>1</v>
      </c>
      <c r="G26">
        <v>1</v>
      </c>
      <c r="H26">
        <v>2</v>
      </c>
      <c r="I26" t="s">
        <v>435</v>
      </c>
      <c r="J26" t="s">
        <v>436</v>
      </c>
      <c r="K26" t="s">
        <v>437</v>
      </c>
      <c r="L26">
        <v>26553684</v>
      </c>
      <c r="N26">
        <v>1013</v>
      </c>
      <c r="O26" t="s">
        <v>387</v>
      </c>
      <c r="P26" t="s">
        <v>387</v>
      </c>
      <c r="Q26">
        <v>1</v>
      </c>
      <c r="X26">
        <v>7.08</v>
      </c>
      <c r="Y26">
        <v>0</v>
      </c>
      <c r="Z26">
        <v>205.75</v>
      </c>
      <c r="AA26">
        <v>14.14</v>
      </c>
      <c r="AB26">
        <v>0</v>
      </c>
      <c r="AC26">
        <v>0</v>
      </c>
      <c r="AD26">
        <v>1</v>
      </c>
      <c r="AE26">
        <v>0</v>
      </c>
      <c r="AF26" t="s">
        <v>12</v>
      </c>
      <c r="AG26">
        <v>8.85</v>
      </c>
      <c r="AH26">
        <v>2</v>
      </c>
      <c r="AI26">
        <v>39202296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ROW(Source!A108)</f>
        <v>108</v>
      </c>
      <c r="B27">
        <v>39202305</v>
      </c>
      <c r="C27">
        <v>39202291</v>
      </c>
      <c r="D27">
        <v>26554486</v>
      </c>
      <c r="E27">
        <v>1</v>
      </c>
      <c r="F27">
        <v>1</v>
      </c>
      <c r="G27">
        <v>1</v>
      </c>
      <c r="H27">
        <v>2</v>
      </c>
      <c r="I27" t="s">
        <v>399</v>
      </c>
      <c r="J27" t="s">
        <v>400</v>
      </c>
      <c r="K27" t="s">
        <v>401</v>
      </c>
      <c r="L27">
        <v>26553684</v>
      </c>
      <c r="N27">
        <v>1013</v>
      </c>
      <c r="O27" t="s">
        <v>387</v>
      </c>
      <c r="P27" t="s">
        <v>387</v>
      </c>
      <c r="Q27">
        <v>1</v>
      </c>
      <c r="X27">
        <v>0.74</v>
      </c>
      <c r="Y27">
        <v>0</v>
      </c>
      <c r="Z27">
        <v>110</v>
      </c>
      <c r="AA27">
        <v>11.38</v>
      </c>
      <c r="AB27">
        <v>0</v>
      </c>
      <c r="AC27">
        <v>0</v>
      </c>
      <c r="AD27">
        <v>1</v>
      </c>
      <c r="AE27">
        <v>0</v>
      </c>
      <c r="AF27" t="s">
        <v>12</v>
      </c>
      <c r="AG27">
        <v>0.92500000000000004</v>
      </c>
      <c r="AH27">
        <v>2</v>
      </c>
      <c r="AI27">
        <v>39202297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ROW(Source!A108)</f>
        <v>108</v>
      </c>
      <c r="B28">
        <v>39202306</v>
      </c>
      <c r="C28">
        <v>39202291</v>
      </c>
      <c r="D28">
        <v>26607888</v>
      </c>
      <c r="E28">
        <v>1</v>
      </c>
      <c r="F28">
        <v>1</v>
      </c>
      <c r="G28">
        <v>1</v>
      </c>
      <c r="H28">
        <v>3</v>
      </c>
      <c r="I28" t="s">
        <v>567</v>
      </c>
      <c r="J28" t="s">
        <v>568</v>
      </c>
      <c r="K28" t="s">
        <v>569</v>
      </c>
      <c r="L28">
        <v>1339</v>
      </c>
      <c r="N28">
        <v>1007</v>
      </c>
      <c r="O28" t="s">
        <v>130</v>
      </c>
      <c r="P28" t="s">
        <v>130</v>
      </c>
      <c r="Q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0</v>
      </c>
      <c r="AF28" t="s">
        <v>3</v>
      </c>
      <c r="AG28">
        <v>0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ROW(Source!A108)</f>
        <v>108</v>
      </c>
      <c r="B29">
        <v>39202307</v>
      </c>
      <c r="C29">
        <v>39202291</v>
      </c>
      <c r="D29">
        <v>26608102</v>
      </c>
      <c r="E29">
        <v>1</v>
      </c>
      <c r="F29">
        <v>1</v>
      </c>
      <c r="G29">
        <v>1</v>
      </c>
      <c r="H29">
        <v>3</v>
      </c>
      <c r="I29" t="s">
        <v>408</v>
      </c>
      <c r="J29" t="s">
        <v>409</v>
      </c>
      <c r="K29" t="s">
        <v>410</v>
      </c>
      <c r="L29">
        <v>1339</v>
      </c>
      <c r="N29">
        <v>1007</v>
      </c>
      <c r="O29" t="s">
        <v>130</v>
      </c>
      <c r="P29" t="s">
        <v>130</v>
      </c>
      <c r="Q29">
        <v>1</v>
      </c>
      <c r="X29">
        <v>5</v>
      </c>
      <c r="Y29">
        <v>2.2599999999999998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</v>
      </c>
      <c r="AH29">
        <v>2</v>
      </c>
      <c r="AI29">
        <v>39202299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ROW(Source!A110)</f>
        <v>110</v>
      </c>
      <c r="B30">
        <v>39202322</v>
      </c>
      <c r="C30">
        <v>39202309</v>
      </c>
      <c r="D30">
        <v>24233887</v>
      </c>
      <c r="E30">
        <v>1</v>
      </c>
      <c r="F30">
        <v>1</v>
      </c>
      <c r="G30">
        <v>1</v>
      </c>
      <c r="H30">
        <v>1</v>
      </c>
      <c r="I30" t="s">
        <v>378</v>
      </c>
      <c r="J30" t="s">
        <v>3</v>
      </c>
      <c r="K30" t="s">
        <v>379</v>
      </c>
      <c r="L30">
        <v>1476</v>
      </c>
      <c r="N30">
        <v>1013</v>
      </c>
      <c r="O30" t="s">
        <v>380</v>
      </c>
      <c r="P30" t="s">
        <v>381</v>
      </c>
      <c r="Q30">
        <v>1</v>
      </c>
      <c r="X30">
        <v>24.19</v>
      </c>
      <c r="Y30">
        <v>0</v>
      </c>
      <c r="Z30">
        <v>0</v>
      </c>
      <c r="AA30">
        <v>0</v>
      </c>
      <c r="AB30">
        <v>6.58</v>
      </c>
      <c r="AC30">
        <v>0</v>
      </c>
      <c r="AD30">
        <v>1</v>
      </c>
      <c r="AE30">
        <v>1</v>
      </c>
      <c r="AF30" t="s">
        <v>13</v>
      </c>
      <c r="AG30">
        <v>27.8185</v>
      </c>
      <c r="AH30">
        <v>2</v>
      </c>
      <c r="AI30">
        <v>39202310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ROW(Source!A110)</f>
        <v>110</v>
      </c>
      <c r="B31">
        <v>39202323</v>
      </c>
      <c r="C31">
        <v>39202309</v>
      </c>
      <c r="D31">
        <v>121548</v>
      </c>
      <c r="E31">
        <v>1</v>
      </c>
      <c r="F31">
        <v>1</v>
      </c>
      <c r="G31">
        <v>1</v>
      </c>
      <c r="H31">
        <v>1</v>
      </c>
      <c r="I31" t="s">
        <v>26</v>
      </c>
      <c r="J31" t="s">
        <v>3</v>
      </c>
      <c r="K31" t="s">
        <v>382</v>
      </c>
      <c r="L31">
        <v>608254</v>
      </c>
      <c r="N31">
        <v>1013</v>
      </c>
      <c r="O31" t="s">
        <v>383</v>
      </c>
      <c r="P31" t="s">
        <v>383</v>
      </c>
      <c r="Q31">
        <v>1</v>
      </c>
      <c r="X31">
        <v>20.6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2</v>
      </c>
      <c r="AF31" t="s">
        <v>12</v>
      </c>
      <c r="AG31">
        <v>25.75</v>
      </c>
      <c r="AH31">
        <v>2</v>
      </c>
      <c r="AI31">
        <v>39202311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ROW(Source!A110)</f>
        <v>110</v>
      </c>
      <c r="B32">
        <v>39202324</v>
      </c>
      <c r="C32">
        <v>39202309</v>
      </c>
      <c r="D32">
        <v>26553886</v>
      </c>
      <c r="E32">
        <v>1</v>
      </c>
      <c r="F32">
        <v>1</v>
      </c>
      <c r="G32">
        <v>1</v>
      </c>
      <c r="H32">
        <v>2</v>
      </c>
      <c r="I32" t="s">
        <v>429</v>
      </c>
      <c r="J32" t="s">
        <v>430</v>
      </c>
      <c r="K32" t="s">
        <v>431</v>
      </c>
      <c r="L32">
        <v>26553684</v>
      </c>
      <c r="N32">
        <v>1013</v>
      </c>
      <c r="O32" t="s">
        <v>387</v>
      </c>
      <c r="P32" t="s">
        <v>387</v>
      </c>
      <c r="Q32">
        <v>1</v>
      </c>
      <c r="X32">
        <v>2.46</v>
      </c>
      <c r="Y32">
        <v>0</v>
      </c>
      <c r="Z32">
        <v>89.81</v>
      </c>
      <c r="AA32">
        <v>9.8800000000000008</v>
      </c>
      <c r="AB32">
        <v>0</v>
      </c>
      <c r="AC32">
        <v>0</v>
      </c>
      <c r="AD32">
        <v>1</v>
      </c>
      <c r="AE32">
        <v>0</v>
      </c>
      <c r="AF32" t="s">
        <v>12</v>
      </c>
      <c r="AG32">
        <v>3.0750000000000002</v>
      </c>
      <c r="AH32">
        <v>2</v>
      </c>
      <c r="AI32">
        <v>39202312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ROW(Source!A110)</f>
        <v>110</v>
      </c>
      <c r="B33">
        <v>39202325</v>
      </c>
      <c r="C33">
        <v>39202309</v>
      </c>
      <c r="D33">
        <v>26554179</v>
      </c>
      <c r="E33">
        <v>1</v>
      </c>
      <c r="F33">
        <v>1</v>
      </c>
      <c r="G33">
        <v>1</v>
      </c>
      <c r="H33">
        <v>2</v>
      </c>
      <c r="I33" t="s">
        <v>388</v>
      </c>
      <c r="J33" t="s">
        <v>389</v>
      </c>
      <c r="K33" t="s">
        <v>390</v>
      </c>
      <c r="L33">
        <v>26553684</v>
      </c>
      <c r="N33">
        <v>1013</v>
      </c>
      <c r="O33" t="s">
        <v>387</v>
      </c>
      <c r="P33" t="s">
        <v>387</v>
      </c>
      <c r="Q33">
        <v>1</v>
      </c>
      <c r="X33">
        <v>2.59</v>
      </c>
      <c r="Y33">
        <v>0</v>
      </c>
      <c r="Z33">
        <v>79.75</v>
      </c>
      <c r="AA33">
        <v>13.26</v>
      </c>
      <c r="AB33">
        <v>0</v>
      </c>
      <c r="AC33">
        <v>0</v>
      </c>
      <c r="AD33">
        <v>1</v>
      </c>
      <c r="AE33">
        <v>0</v>
      </c>
      <c r="AF33" t="s">
        <v>12</v>
      </c>
      <c r="AG33">
        <v>3.2374999999999998</v>
      </c>
      <c r="AH33">
        <v>2</v>
      </c>
      <c r="AI33">
        <v>39202313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ROW(Source!A110)</f>
        <v>110</v>
      </c>
      <c r="B34">
        <v>39202326</v>
      </c>
      <c r="C34">
        <v>39202309</v>
      </c>
      <c r="D34">
        <v>26554394</v>
      </c>
      <c r="E34">
        <v>1</v>
      </c>
      <c r="F34">
        <v>1</v>
      </c>
      <c r="G34">
        <v>1</v>
      </c>
      <c r="H34">
        <v>2</v>
      </c>
      <c r="I34" t="s">
        <v>432</v>
      </c>
      <c r="J34" t="s">
        <v>433</v>
      </c>
      <c r="K34" t="s">
        <v>434</v>
      </c>
      <c r="L34">
        <v>26553684</v>
      </c>
      <c r="N34">
        <v>1013</v>
      </c>
      <c r="O34" t="s">
        <v>387</v>
      </c>
      <c r="P34" t="s">
        <v>387</v>
      </c>
      <c r="Q34">
        <v>1</v>
      </c>
      <c r="X34">
        <v>2.2999999999999998</v>
      </c>
      <c r="Y34">
        <v>0</v>
      </c>
      <c r="Z34">
        <v>122.76</v>
      </c>
      <c r="AA34">
        <v>13.26</v>
      </c>
      <c r="AB34">
        <v>0</v>
      </c>
      <c r="AC34">
        <v>0</v>
      </c>
      <c r="AD34">
        <v>1</v>
      </c>
      <c r="AE34">
        <v>0</v>
      </c>
      <c r="AF34" t="s">
        <v>12</v>
      </c>
      <c r="AG34">
        <v>2.875</v>
      </c>
      <c r="AH34">
        <v>2</v>
      </c>
      <c r="AI34">
        <v>39202314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ROW(Source!A110)</f>
        <v>110</v>
      </c>
      <c r="B35">
        <v>39202318</v>
      </c>
      <c r="C35">
        <v>39202309</v>
      </c>
      <c r="D35">
        <v>26554425</v>
      </c>
      <c r="E35">
        <v>1</v>
      </c>
      <c r="F35">
        <v>1</v>
      </c>
      <c r="G35">
        <v>1</v>
      </c>
      <c r="H35">
        <v>2</v>
      </c>
      <c r="I35" t="s">
        <v>435</v>
      </c>
      <c r="J35" t="s">
        <v>436</v>
      </c>
      <c r="K35" t="s">
        <v>437</v>
      </c>
      <c r="L35">
        <v>26553684</v>
      </c>
      <c r="N35">
        <v>1013</v>
      </c>
      <c r="O35" t="s">
        <v>387</v>
      </c>
      <c r="P35" t="s">
        <v>387</v>
      </c>
      <c r="Q35">
        <v>1</v>
      </c>
      <c r="X35">
        <v>12.21</v>
      </c>
      <c r="Y35">
        <v>0</v>
      </c>
      <c r="Z35">
        <v>205.75</v>
      </c>
      <c r="AA35">
        <v>14.14</v>
      </c>
      <c r="AB35">
        <v>0</v>
      </c>
      <c r="AC35">
        <v>0</v>
      </c>
      <c r="AD35">
        <v>1</v>
      </c>
      <c r="AE35">
        <v>0</v>
      </c>
      <c r="AF35" t="s">
        <v>12</v>
      </c>
      <c r="AG35">
        <v>15.262500000000001</v>
      </c>
      <c r="AH35">
        <v>2</v>
      </c>
      <c r="AI35">
        <v>39202315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ROW(Source!A110)</f>
        <v>110</v>
      </c>
      <c r="B36">
        <v>39202319</v>
      </c>
      <c r="C36">
        <v>39202309</v>
      </c>
      <c r="D36">
        <v>26554486</v>
      </c>
      <c r="E36">
        <v>1</v>
      </c>
      <c r="F36">
        <v>1</v>
      </c>
      <c r="G36">
        <v>1</v>
      </c>
      <c r="H36">
        <v>2</v>
      </c>
      <c r="I36" t="s">
        <v>399</v>
      </c>
      <c r="J36" t="s">
        <v>400</v>
      </c>
      <c r="K36" t="s">
        <v>401</v>
      </c>
      <c r="L36">
        <v>26553684</v>
      </c>
      <c r="N36">
        <v>1013</v>
      </c>
      <c r="O36" t="s">
        <v>387</v>
      </c>
      <c r="P36" t="s">
        <v>387</v>
      </c>
      <c r="Q36">
        <v>1</v>
      </c>
      <c r="X36">
        <v>1.04</v>
      </c>
      <c r="Y36">
        <v>0</v>
      </c>
      <c r="Z36">
        <v>110</v>
      </c>
      <c r="AA36">
        <v>11.38</v>
      </c>
      <c r="AB36">
        <v>0</v>
      </c>
      <c r="AC36">
        <v>0</v>
      </c>
      <c r="AD36">
        <v>1</v>
      </c>
      <c r="AE36">
        <v>0</v>
      </c>
      <c r="AF36" t="s">
        <v>12</v>
      </c>
      <c r="AG36">
        <v>1.3</v>
      </c>
      <c r="AH36">
        <v>2</v>
      </c>
      <c r="AI36">
        <v>39202316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ROW(Source!A110)</f>
        <v>110</v>
      </c>
      <c r="B37">
        <v>39202320</v>
      </c>
      <c r="C37">
        <v>39202309</v>
      </c>
      <c r="D37">
        <v>26607891</v>
      </c>
      <c r="E37">
        <v>1</v>
      </c>
      <c r="F37">
        <v>1</v>
      </c>
      <c r="G37">
        <v>1</v>
      </c>
      <c r="H37">
        <v>3</v>
      </c>
      <c r="I37" t="s">
        <v>570</v>
      </c>
      <c r="J37" t="s">
        <v>571</v>
      </c>
      <c r="K37" t="s">
        <v>572</v>
      </c>
      <c r="L37">
        <v>1339</v>
      </c>
      <c r="N37">
        <v>1007</v>
      </c>
      <c r="O37" t="s">
        <v>130</v>
      </c>
      <c r="P37" t="s">
        <v>130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 t="s">
        <v>3</v>
      </c>
      <c r="AG37">
        <v>0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ROW(Source!A110)</f>
        <v>110</v>
      </c>
      <c r="B38">
        <v>39202321</v>
      </c>
      <c r="C38">
        <v>39202309</v>
      </c>
      <c r="D38">
        <v>26608102</v>
      </c>
      <c r="E38">
        <v>1</v>
      </c>
      <c r="F38">
        <v>1</v>
      </c>
      <c r="G38">
        <v>1</v>
      </c>
      <c r="H38">
        <v>3</v>
      </c>
      <c r="I38" t="s">
        <v>408</v>
      </c>
      <c r="J38" t="s">
        <v>409</v>
      </c>
      <c r="K38" t="s">
        <v>410</v>
      </c>
      <c r="L38">
        <v>1339</v>
      </c>
      <c r="N38">
        <v>1007</v>
      </c>
      <c r="O38" t="s">
        <v>130</v>
      </c>
      <c r="P38" t="s">
        <v>130</v>
      </c>
      <c r="Q38">
        <v>1</v>
      </c>
      <c r="X38">
        <v>7</v>
      </c>
      <c r="Y38">
        <v>2.2599999999999998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7</v>
      </c>
      <c r="AH38">
        <v>2</v>
      </c>
      <c r="AI38">
        <v>39202317</v>
      </c>
      <c r="AJ38">
        <v>37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ROW(Source!A111)</f>
        <v>111</v>
      </c>
      <c r="B39">
        <v>42541481</v>
      </c>
      <c r="C39">
        <v>42541463</v>
      </c>
      <c r="D39">
        <v>24233887</v>
      </c>
      <c r="E39">
        <v>1</v>
      </c>
      <c r="F39">
        <v>1</v>
      </c>
      <c r="G39">
        <v>1</v>
      </c>
      <c r="H39">
        <v>1</v>
      </c>
      <c r="I39" t="s">
        <v>378</v>
      </c>
      <c r="J39" t="s">
        <v>3</v>
      </c>
      <c r="K39" t="s">
        <v>379</v>
      </c>
      <c r="L39">
        <v>1476</v>
      </c>
      <c r="N39">
        <v>1013</v>
      </c>
      <c r="O39" t="s">
        <v>380</v>
      </c>
      <c r="P39" t="s">
        <v>381</v>
      </c>
      <c r="Q39">
        <v>1</v>
      </c>
      <c r="X39">
        <v>24.19</v>
      </c>
      <c r="Y39">
        <v>0</v>
      </c>
      <c r="Z39">
        <v>0</v>
      </c>
      <c r="AA39">
        <v>0</v>
      </c>
      <c r="AB39">
        <v>6.58</v>
      </c>
      <c r="AC39">
        <v>0</v>
      </c>
      <c r="AD39">
        <v>1</v>
      </c>
      <c r="AE39">
        <v>1</v>
      </c>
      <c r="AF39" t="s">
        <v>139</v>
      </c>
      <c r="AG39">
        <v>27.8185</v>
      </c>
      <c r="AH39">
        <v>2</v>
      </c>
      <c r="AI39">
        <v>42541481</v>
      </c>
      <c r="AJ39">
        <v>38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ROW(Source!A111)</f>
        <v>111</v>
      </c>
      <c r="B40">
        <v>42541482</v>
      </c>
      <c r="C40">
        <v>42541463</v>
      </c>
      <c r="D40">
        <v>121548</v>
      </c>
      <c r="E40">
        <v>1</v>
      </c>
      <c r="F40">
        <v>1</v>
      </c>
      <c r="G40">
        <v>1</v>
      </c>
      <c r="H40">
        <v>1</v>
      </c>
      <c r="I40" t="s">
        <v>26</v>
      </c>
      <c r="J40" t="s">
        <v>3</v>
      </c>
      <c r="K40" t="s">
        <v>382</v>
      </c>
      <c r="L40">
        <v>608254</v>
      </c>
      <c r="N40">
        <v>1013</v>
      </c>
      <c r="O40" t="s">
        <v>383</v>
      </c>
      <c r="P40" t="s">
        <v>383</v>
      </c>
      <c r="Q40">
        <v>1</v>
      </c>
      <c r="X40">
        <v>20.6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138</v>
      </c>
      <c r="AG40">
        <v>25.75</v>
      </c>
      <c r="AH40">
        <v>2</v>
      </c>
      <c r="AI40">
        <v>42541482</v>
      </c>
      <c r="AJ40">
        <v>39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ROW(Source!A111)</f>
        <v>111</v>
      </c>
      <c r="B41">
        <v>42541483</v>
      </c>
      <c r="C41">
        <v>42541463</v>
      </c>
      <c r="D41">
        <v>26553886</v>
      </c>
      <c r="E41">
        <v>1</v>
      </c>
      <c r="F41">
        <v>1</v>
      </c>
      <c r="G41">
        <v>1</v>
      </c>
      <c r="H41">
        <v>2</v>
      </c>
      <c r="I41" t="s">
        <v>429</v>
      </c>
      <c r="J41" t="s">
        <v>430</v>
      </c>
      <c r="K41" t="s">
        <v>431</v>
      </c>
      <c r="L41">
        <v>26553684</v>
      </c>
      <c r="N41">
        <v>1013</v>
      </c>
      <c r="O41" t="s">
        <v>387</v>
      </c>
      <c r="P41" t="s">
        <v>387</v>
      </c>
      <c r="Q41">
        <v>1</v>
      </c>
      <c r="X41">
        <v>2.46</v>
      </c>
      <c r="Y41">
        <v>0</v>
      </c>
      <c r="Z41">
        <v>89.81</v>
      </c>
      <c r="AA41">
        <v>9.8800000000000008</v>
      </c>
      <c r="AB41">
        <v>0</v>
      </c>
      <c r="AC41">
        <v>0</v>
      </c>
      <c r="AD41">
        <v>1</v>
      </c>
      <c r="AE41">
        <v>0</v>
      </c>
      <c r="AF41" t="s">
        <v>138</v>
      </c>
      <c r="AG41">
        <v>3.0750000000000002</v>
      </c>
      <c r="AH41">
        <v>2</v>
      </c>
      <c r="AI41">
        <v>42541483</v>
      </c>
      <c r="AJ41">
        <v>40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ROW(Source!A111)</f>
        <v>111</v>
      </c>
      <c r="B42">
        <v>42541484</v>
      </c>
      <c r="C42">
        <v>42541463</v>
      </c>
      <c r="D42">
        <v>26554179</v>
      </c>
      <c r="E42">
        <v>1</v>
      </c>
      <c r="F42">
        <v>1</v>
      </c>
      <c r="G42">
        <v>1</v>
      </c>
      <c r="H42">
        <v>2</v>
      </c>
      <c r="I42" t="s">
        <v>388</v>
      </c>
      <c r="J42" t="s">
        <v>389</v>
      </c>
      <c r="K42" t="s">
        <v>390</v>
      </c>
      <c r="L42">
        <v>26553684</v>
      </c>
      <c r="N42">
        <v>1013</v>
      </c>
      <c r="O42" t="s">
        <v>387</v>
      </c>
      <c r="P42" t="s">
        <v>387</v>
      </c>
      <c r="Q42">
        <v>1</v>
      </c>
      <c r="X42">
        <v>2.59</v>
      </c>
      <c r="Y42">
        <v>0</v>
      </c>
      <c r="Z42">
        <v>79.75</v>
      </c>
      <c r="AA42">
        <v>13.26</v>
      </c>
      <c r="AB42">
        <v>0</v>
      </c>
      <c r="AC42">
        <v>0</v>
      </c>
      <c r="AD42">
        <v>1</v>
      </c>
      <c r="AE42">
        <v>0</v>
      </c>
      <c r="AF42" t="s">
        <v>138</v>
      </c>
      <c r="AG42">
        <v>3.2374999999999998</v>
      </c>
      <c r="AH42">
        <v>2</v>
      </c>
      <c r="AI42">
        <v>42541484</v>
      </c>
      <c r="AJ42">
        <v>41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ROW(Source!A111)</f>
        <v>111</v>
      </c>
      <c r="B43">
        <v>42541485</v>
      </c>
      <c r="C43">
        <v>42541463</v>
      </c>
      <c r="D43">
        <v>26554394</v>
      </c>
      <c r="E43">
        <v>1</v>
      </c>
      <c r="F43">
        <v>1</v>
      </c>
      <c r="G43">
        <v>1</v>
      </c>
      <c r="H43">
        <v>2</v>
      </c>
      <c r="I43" t="s">
        <v>432</v>
      </c>
      <c r="J43" t="s">
        <v>433</v>
      </c>
      <c r="K43" t="s">
        <v>434</v>
      </c>
      <c r="L43">
        <v>26553684</v>
      </c>
      <c r="N43">
        <v>1013</v>
      </c>
      <c r="O43" t="s">
        <v>387</v>
      </c>
      <c r="P43" t="s">
        <v>387</v>
      </c>
      <c r="Q43">
        <v>1</v>
      </c>
      <c r="X43">
        <v>2.2999999999999998</v>
      </c>
      <c r="Y43">
        <v>0</v>
      </c>
      <c r="Z43">
        <v>122.76</v>
      </c>
      <c r="AA43">
        <v>13.26</v>
      </c>
      <c r="AB43">
        <v>0</v>
      </c>
      <c r="AC43">
        <v>0</v>
      </c>
      <c r="AD43">
        <v>1</v>
      </c>
      <c r="AE43">
        <v>0</v>
      </c>
      <c r="AF43" t="s">
        <v>138</v>
      </c>
      <c r="AG43">
        <v>2.875</v>
      </c>
      <c r="AH43">
        <v>2</v>
      </c>
      <c r="AI43">
        <v>42541485</v>
      </c>
      <c r="AJ43">
        <v>42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ROW(Source!A111)</f>
        <v>111</v>
      </c>
      <c r="B44">
        <v>42541486</v>
      </c>
      <c r="C44">
        <v>42541463</v>
      </c>
      <c r="D44">
        <v>26554425</v>
      </c>
      <c r="E44">
        <v>1</v>
      </c>
      <c r="F44">
        <v>1</v>
      </c>
      <c r="G44">
        <v>1</v>
      </c>
      <c r="H44">
        <v>2</v>
      </c>
      <c r="I44" t="s">
        <v>435</v>
      </c>
      <c r="J44" t="s">
        <v>436</v>
      </c>
      <c r="K44" t="s">
        <v>437</v>
      </c>
      <c r="L44">
        <v>26553684</v>
      </c>
      <c r="N44">
        <v>1013</v>
      </c>
      <c r="O44" t="s">
        <v>387</v>
      </c>
      <c r="P44" t="s">
        <v>387</v>
      </c>
      <c r="Q44">
        <v>1</v>
      </c>
      <c r="X44">
        <v>12.21</v>
      </c>
      <c r="Y44">
        <v>0</v>
      </c>
      <c r="Z44">
        <v>205.75</v>
      </c>
      <c r="AA44">
        <v>14.14</v>
      </c>
      <c r="AB44">
        <v>0</v>
      </c>
      <c r="AC44">
        <v>0</v>
      </c>
      <c r="AD44">
        <v>1</v>
      </c>
      <c r="AE44">
        <v>0</v>
      </c>
      <c r="AF44" t="s">
        <v>138</v>
      </c>
      <c r="AG44">
        <v>15.262500000000001</v>
      </c>
      <c r="AH44">
        <v>2</v>
      </c>
      <c r="AI44">
        <v>42541486</v>
      </c>
      <c r="AJ44">
        <v>43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ROW(Source!A111)</f>
        <v>111</v>
      </c>
      <c r="B45">
        <v>42541487</v>
      </c>
      <c r="C45">
        <v>42541463</v>
      </c>
      <c r="D45">
        <v>26554486</v>
      </c>
      <c r="E45">
        <v>1</v>
      </c>
      <c r="F45">
        <v>1</v>
      </c>
      <c r="G45">
        <v>1</v>
      </c>
      <c r="H45">
        <v>2</v>
      </c>
      <c r="I45" t="s">
        <v>399</v>
      </c>
      <c r="J45" t="s">
        <v>400</v>
      </c>
      <c r="K45" t="s">
        <v>401</v>
      </c>
      <c r="L45">
        <v>26553684</v>
      </c>
      <c r="N45">
        <v>1013</v>
      </c>
      <c r="O45" t="s">
        <v>387</v>
      </c>
      <c r="P45" t="s">
        <v>387</v>
      </c>
      <c r="Q45">
        <v>1</v>
      </c>
      <c r="X45">
        <v>1.04</v>
      </c>
      <c r="Y45">
        <v>0</v>
      </c>
      <c r="Z45">
        <v>110</v>
      </c>
      <c r="AA45">
        <v>11.38</v>
      </c>
      <c r="AB45">
        <v>0</v>
      </c>
      <c r="AC45">
        <v>0</v>
      </c>
      <c r="AD45">
        <v>1</v>
      </c>
      <c r="AE45">
        <v>0</v>
      </c>
      <c r="AF45" t="s">
        <v>138</v>
      </c>
      <c r="AG45">
        <v>1.3</v>
      </c>
      <c r="AH45">
        <v>2</v>
      </c>
      <c r="AI45">
        <v>42541487</v>
      </c>
      <c r="AJ45">
        <v>44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ROW(Source!A111)</f>
        <v>111</v>
      </c>
      <c r="B46">
        <v>42541488</v>
      </c>
      <c r="C46">
        <v>42541463</v>
      </c>
      <c r="D46">
        <v>26607891</v>
      </c>
      <c r="E46">
        <v>1</v>
      </c>
      <c r="F46">
        <v>1</v>
      </c>
      <c r="G46">
        <v>1</v>
      </c>
      <c r="H46">
        <v>3</v>
      </c>
      <c r="I46" t="s">
        <v>570</v>
      </c>
      <c r="J46" t="s">
        <v>571</v>
      </c>
      <c r="K46" t="s">
        <v>572</v>
      </c>
      <c r="L46">
        <v>1339</v>
      </c>
      <c r="N46">
        <v>1007</v>
      </c>
      <c r="O46" t="s">
        <v>130</v>
      </c>
      <c r="P46" t="s">
        <v>130</v>
      </c>
      <c r="Q46">
        <v>1</v>
      </c>
      <c r="X46">
        <v>0</v>
      </c>
      <c r="Y46">
        <v>0</v>
      </c>
      <c r="Z46">
        <v>0</v>
      </c>
      <c r="AA46">
        <v>0</v>
      </c>
      <c r="AB46">
        <v>0</v>
      </c>
      <c r="AC46">
        <v>1</v>
      </c>
      <c r="AD46">
        <v>0</v>
      </c>
      <c r="AE46">
        <v>0</v>
      </c>
      <c r="AF46" t="s">
        <v>3</v>
      </c>
      <c r="AG46">
        <v>0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ROW(Source!A111)</f>
        <v>111</v>
      </c>
      <c r="B47">
        <v>42541489</v>
      </c>
      <c r="C47">
        <v>42541463</v>
      </c>
      <c r="D47">
        <v>26608102</v>
      </c>
      <c r="E47">
        <v>1</v>
      </c>
      <c r="F47">
        <v>1</v>
      </c>
      <c r="G47">
        <v>1</v>
      </c>
      <c r="H47">
        <v>3</v>
      </c>
      <c r="I47" t="s">
        <v>408</v>
      </c>
      <c r="J47" t="s">
        <v>409</v>
      </c>
      <c r="K47" t="s">
        <v>410</v>
      </c>
      <c r="L47">
        <v>1339</v>
      </c>
      <c r="N47">
        <v>1007</v>
      </c>
      <c r="O47" t="s">
        <v>130</v>
      </c>
      <c r="P47" t="s">
        <v>130</v>
      </c>
      <c r="Q47">
        <v>1</v>
      </c>
      <c r="X47">
        <v>7</v>
      </c>
      <c r="Y47">
        <v>2.2599999999999998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7</v>
      </c>
      <c r="AH47">
        <v>2</v>
      </c>
      <c r="AI47">
        <v>42541489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ROW(Source!A113)</f>
        <v>113</v>
      </c>
      <c r="B48">
        <v>39202331</v>
      </c>
      <c r="C48">
        <v>39202327</v>
      </c>
      <c r="D48">
        <v>121548</v>
      </c>
      <c r="E48">
        <v>1</v>
      </c>
      <c r="F48">
        <v>1</v>
      </c>
      <c r="G48">
        <v>1</v>
      </c>
      <c r="H48">
        <v>1</v>
      </c>
      <c r="I48" t="s">
        <v>26</v>
      </c>
      <c r="J48" t="s">
        <v>3</v>
      </c>
      <c r="K48" t="s">
        <v>382</v>
      </c>
      <c r="L48">
        <v>608254</v>
      </c>
      <c r="N48">
        <v>1013</v>
      </c>
      <c r="O48" t="s">
        <v>383</v>
      </c>
      <c r="P48" t="s">
        <v>383</v>
      </c>
      <c r="Q48">
        <v>1</v>
      </c>
      <c r="X48">
        <v>0.66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12</v>
      </c>
      <c r="AG48">
        <v>0.82500000000000007</v>
      </c>
      <c r="AH48">
        <v>2</v>
      </c>
      <c r="AI48">
        <v>39202328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ROW(Source!A113)</f>
        <v>113</v>
      </c>
      <c r="B49">
        <v>39202332</v>
      </c>
      <c r="C49">
        <v>39202327</v>
      </c>
      <c r="D49">
        <v>26554388</v>
      </c>
      <c r="E49">
        <v>1</v>
      </c>
      <c r="F49">
        <v>1</v>
      </c>
      <c r="G49">
        <v>1</v>
      </c>
      <c r="H49">
        <v>2</v>
      </c>
      <c r="I49" t="s">
        <v>438</v>
      </c>
      <c r="J49" t="s">
        <v>439</v>
      </c>
      <c r="K49" t="s">
        <v>440</v>
      </c>
      <c r="L49">
        <v>26553684</v>
      </c>
      <c r="N49">
        <v>1013</v>
      </c>
      <c r="O49" t="s">
        <v>387</v>
      </c>
      <c r="P49" t="s">
        <v>387</v>
      </c>
      <c r="Q49">
        <v>1</v>
      </c>
      <c r="X49">
        <v>0.33</v>
      </c>
      <c r="Y49">
        <v>0</v>
      </c>
      <c r="Z49">
        <v>119.57</v>
      </c>
      <c r="AA49">
        <v>21.26</v>
      </c>
      <c r="AB49">
        <v>0</v>
      </c>
      <c r="AC49">
        <v>0</v>
      </c>
      <c r="AD49">
        <v>1</v>
      </c>
      <c r="AE49">
        <v>0</v>
      </c>
      <c r="AF49" t="s">
        <v>12</v>
      </c>
      <c r="AG49">
        <v>0.41250000000000003</v>
      </c>
      <c r="AH49">
        <v>2</v>
      </c>
      <c r="AI49">
        <v>39202329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ROW(Source!A113)</f>
        <v>113</v>
      </c>
      <c r="B50">
        <v>39202333</v>
      </c>
      <c r="C50">
        <v>39202327</v>
      </c>
      <c r="D50">
        <v>26558501</v>
      </c>
      <c r="E50">
        <v>1</v>
      </c>
      <c r="F50">
        <v>1</v>
      </c>
      <c r="G50">
        <v>1</v>
      </c>
      <c r="H50">
        <v>3</v>
      </c>
      <c r="I50" t="s">
        <v>441</v>
      </c>
      <c r="J50" t="s">
        <v>442</v>
      </c>
      <c r="K50" t="s">
        <v>443</v>
      </c>
      <c r="L50">
        <v>1348</v>
      </c>
      <c r="N50">
        <v>1009</v>
      </c>
      <c r="O50" t="s">
        <v>169</v>
      </c>
      <c r="P50" t="s">
        <v>169</v>
      </c>
      <c r="Q50">
        <v>1000</v>
      </c>
      <c r="X50">
        <v>1.03</v>
      </c>
      <c r="Y50">
        <v>1424.35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1.03</v>
      </c>
      <c r="AH50">
        <v>2</v>
      </c>
      <c r="AI50">
        <v>39202330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ROW(Source!A114)</f>
        <v>114</v>
      </c>
      <c r="B51">
        <v>39202349</v>
      </c>
      <c r="C51">
        <v>39202334</v>
      </c>
      <c r="D51">
        <v>24225483</v>
      </c>
      <c r="E51">
        <v>1</v>
      </c>
      <c r="F51">
        <v>1</v>
      </c>
      <c r="G51">
        <v>1</v>
      </c>
      <c r="H51">
        <v>1</v>
      </c>
      <c r="I51" t="s">
        <v>444</v>
      </c>
      <c r="J51" t="s">
        <v>3</v>
      </c>
      <c r="K51" t="s">
        <v>445</v>
      </c>
      <c r="L51">
        <v>1476</v>
      </c>
      <c r="N51">
        <v>1013</v>
      </c>
      <c r="O51" t="s">
        <v>380</v>
      </c>
      <c r="P51" t="s">
        <v>381</v>
      </c>
      <c r="Q51">
        <v>1</v>
      </c>
      <c r="X51">
        <v>38.299999999999997</v>
      </c>
      <c r="Y51">
        <v>0</v>
      </c>
      <c r="Z51">
        <v>0</v>
      </c>
      <c r="AA51">
        <v>0</v>
      </c>
      <c r="AB51">
        <v>7.83</v>
      </c>
      <c r="AC51">
        <v>0</v>
      </c>
      <c r="AD51">
        <v>1</v>
      </c>
      <c r="AE51">
        <v>1</v>
      </c>
      <c r="AF51" t="s">
        <v>139</v>
      </c>
      <c r="AG51">
        <v>44.044999999999995</v>
      </c>
      <c r="AH51">
        <v>2</v>
      </c>
      <c r="AI51">
        <v>39202335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ROW(Source!A114)</f>
        <v>114</v>
      </c>
      <c r="B52">
        <v>39202350</v>
      </c>
      <c r="C52">
        <v>39202334</v>
      </c>
      <c r="D52">
        <v>121548</v>
      </c>
      <c r="E52">
        <v>1</v>
      </c>
      <c r="F52">
        <v>1</v>
      </c>
      <c r="G52">
        <v>1</v>
      </c>
      <c r="H52">
        <v>1</v>
      </c>
      <c r="I52" t="s">
        <v>26</v>
      </c>
      <c r="J52" t="s">
        <v>3</v>
      </c>
      <c r="K52" t="s">
        <v>382</v>
      </c>
      <c r="L52">
        <v>608254</v>
      </c>
      <c r="N52">
        <v>1013</v>
      </c>
      <c r="O52" t="s">
        <v>383</v>
      </c>
      <c r="P52" t="s">
        <v>383</v>
      </c>
      <c r="Q52">
        <v>1</v>
      </c>
      <c r="X52">
        <v>19.100000000000001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2</v>
      </c>
      <c r="AF52" t="s">
        <v>138</v>
      </c>
      <c r="AG52">
        <v>23.875</v>
      </c>
      <c r="AH52">
        <v>2</v>
      </c>
      <c r="AI52">
        <v>39202336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ROW(Source!A114)</f>
        <v>114</v>
      </c>
      <c r="B53">
        <v>39202351</v>
      </c>
      <c r="C53">
        <v>39202334</v>
      </c>
      <c r="D53">
        <v>26553813</v>
      </c>
      <c r="E53">
        <v>1</v>
      </c>
      <c r="F53">
        <v>1</v>
      </c>
      <c r="G53">
        <v>1</v>
      </c>
      <c r="H53">
        <v>2</v>
      </c>
      <c r="I53" t="s">
        <v>446</v>
      </c>
      <c r="J53" t="s">
        <v>447</v>
      </c>
      <c r="K53" t="s">
        <v>448</v>
      </c>
      <c r="L53">
        <v>26553684</v>
      </c>
      <c r="N53">
        <v>1013</v>
      </c>
      <c r="O53" t="s">
        <v>387</v>
      </c>
      <c r="P53" t="s">
        <v>387</v>
      </c>
      <c r="Q53">
        <v>1</v>
      </c>
      <c r="X53">
        <v>0.05</v>
      </c>
      <c r="Y53">
        <v>0</v>
      </c>
      <c r="Z53">
        <v>111.75</v>
      </c>
      <c r="AA53">
        <v>13.26</v>
      </c>
      <c r="AB53">
        <v>0</v>
      </c>
      <c r="AC53">
        <v>0</v>
      </c>
      <c r="AD53">
        <v>1</v>
      </c>
      <c r="AE53">
        <v>0</v>
      </c>
      <c r="AF53" t="s">
        <v>138</v>
      </c>
      <c r="AG53">
        <v>6.25E-2</v>
      </c>
      <c r="AH53">
        <v>2</v>
      </c>
      <c r="AI53">
        <v>39202337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ROW(Source!A114)</f>
        <v>114</v>
      </c>
      <c r="B54">
        <v>39202352</v>
      </c>
      <c r="C54">
        <v>39202334</v>
      </c>
      <c r="D54">
        <v>26554401</v>
      </c>
      <c r="E54">
        <v>1</v>
      </c>
      <c r="F54">
        <v>1</v>
      </c>
      <c r="G54">
        <v>1</v>
      </c>
      <c r="H54">
        <v>2</v>
      </c>
      <c r="I54" t="s">
        <v>449</v>
      </c>
      <c r="J54" t="s">
        <v>450</v>
      </c>
      <c r="K54" t="s">
        <v>451</v>
      </c>
      <c r="L54">
        <v>26553684</v>
      </c>
      <c r="N54">
        <v>1013</v>
      </c>
      <c r="O54" t="s">
        <v>387</v>
      </c>
      <c r="P54" t="s">
        <v>387</v>
      </c>
      <c r="Q54">
        <v>1</v>
      </c>
      <c r="X54">
        <v>1.4</v>
      </c>
      <c r="Y54">
        <v>0</v>
      </c>
      <c r="Z54">
        <v>17.2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138</v>
      </c>
      <c r="AG54">
        <v>1.75</v>
      </c>
      <c r="AH54">
        <v>2</v>
      </c>
      <c r="AI54">
        <v>39202338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ROW(Source!A114)</f>
        <v>114</v>
      </c>
      <c r="B55">
        <v>39202353</v>
      </c>
      <c r="C55">
        <v>39202334</v>
      </c>
      <c r="D55">
        <v>26554420</v>
      </c>
      <c r="E55">
        <v>1</v>
      </c>
      <c r="F55">
        <v>1</v>
      </c>
      <c r="G55">
        <v>1</v>
      </c>
      <c r="H55">
        <v>2</v>
      </c>
      <c r="I55" t="s">
        <v>452</v>
      </c>
      <c r="J55" t="s">
        <v>453</v>
      </c>
      <c r="K55" t="s">
        <v>454</v>
      </c>
      <c r="L55">
        <v>26553684</v>
      </c>
      <c r="N55">
        <v>1013</v>
      </c>
      <c r="O55" t="s">
        <v>387</v>
      </c>
      <c r="P55" t="s">
        <v>387</v>
      </c>
      <c r="Q55">
        <v>1</v>
      </c>
      <c r="X55">
        <v>3.96</v>
      </c>
      <c r="Y55">
        <v>0</v>
      </c>
      <c r="Z55">
        <v>74.78</v>
      </c>
      <c r="AA55">
        <v>11.38</v>
      </c>
      <c r="AB55">
        <v>0</v>
      </c>
      <c r="AC55">
        <v>0</v>
      </c>
      <c r="AD55">
        <v>1</v>
      </c>
      <c r="AE55">
        <v>0</v>
      </c>
      <c r="AF55" t="s">
        <v>138</v>
      </c>
      <c r="AG55">
        <v>4.95</v>
      </c>
      <c r="AH55">
        <v>2</v>
      </c>
      <c r="AI55">
        <v>39202339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ROW(Source!A114)</f>
        <v>114</v>
      </c>
      <c r="B56">
        <v>39202354</v>
      </c>
      <c r="C56">
        <v>39202334</v>
      </c>
      <c r="D56">
        <v>26554421</v>
      </c>
      <c r="E56">
        <v>1</v>
      </c>
      <c r="F56">
        <v>1</v>
      </c>
      <c r="G56">
        <v>1</v>
      </c>
      <c r="H56">
        <v>2</v>
      </c>
      <c r="I56" t="s">
        <v>455</v>
      </c>
      <c r="J56" t="s">
        <v>456</v>
      </c>
      <c r="K56" t="s">
        <v>457</v>
      </c>
      <c r="L56">
        <v>26553684</v>
      </c>
      <c r="N56">
        <v>1013</v>
      </c>
      <c r="O56" t="s">
        <v>387</v>
      </c>
      <c r="P56" t="s">
        <v>387</v>
      </c>
      <c r="Q56">
        <v>1</v>
      </c>
      <c r="X56">
        <v>11.51</v>
      </c>
      <c r="Y56">
        <v>0</v>
      </c>
      <c r="Z56">
        <v>120.74</v>
      </c>
      <c r="AA56">
        <v>14.14</v>
      </c>
      <c r="AB56">
        <v>0</v>
      </c>
      <c r="AC56">
        <v>0</v>
      </c>
      <c r="AD56">
        <v>1</v>
      </c>
      <c r="AE56">
        <v>0</v>
      </c>
      <c r="AF56" t="s">
        <v>138</v>
      </c>
      <c r="AG56">
        <v>14.387499999999999</v>
      </c>
      <c r="AH56">
        <v>2</v>
      </c>
      <c r="AI56">
        <v>39202340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ROW(Source!A114)</f>
        <v>114</v>
      </c>
      <c r="B57">
        <v>39202355</v>
      </c>
      <c r="C57">
        <v>39202334</v>
      </c>
      <c r="D57">
        <v>26554486</v>
      </c>
      <c r="E57">
        <v>1</v>
      </c>
      <c r="F57">
        <v>1</v>
      </c>
      <c r="G57">
        <v>1</v>
      </c>
      <c r="H57">
        <v>2</v>
      </c>
      <c r="I57" t="s">
        <v>399</v>
      </c>
      <c r="J57" t="s">
        <v>400</v>
      </c>
      <c r="K57" t="s">
        <v>401</v>
      </c>
      <c r="L57">
        <v>26553684</v>
      </c>
      <c r="N57">
        <v>1013</v>
      </c>
      <c r="O57" t="s">
        <v>387</v>
      </c>
      <c r="P57" t="s">
        <v>387</v>
      </c>
      <c r="Q57">
        <v>1</v>
      </c>
      <c r="X57">
        <v>0.39</v>
      </c>
      <c r="Y57">
        <v>0</v>
      </c>
      <c r="Z57">
        <v>110</v>
      </c>
      <c r="AA57">
        <v>11.38</v>
      </c>
      <c r="AB57">
        <v>0</v>
      </c>
      <c r="AC57">
        <v>0</v>
      </c>
      <c r="AD57">
        <v>1</v>
      </c>
      <c r="AE57">
        <v>0</v>
      </c>
      <c r="AF57" t="s">
        <v>138</v>
      </c>
      <c r="AG57">
        <v>0.48750000000000004</v>
      </c>
      <c r="AH57">
        <v>2</v>
      </c>
      <c r="AI57">
        <v>39202341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ROW(Source!A114)</f>
        <v>114</v>
      </c>
      <c r="B58">
        <v>39202356</v>
      </c>
      <c r="C58">
        <v>39202334</v>
      </c>
      <c r="D58">
        <v>26554510</v>
      </c>
      <c r="E58">
        <v>1</v>
      </c>
      <c r="F58">
        <v>1</v>
      </c>
      <c r="G58">
        <v>1</v>
      </c>
      <c r="H58">
        <v>2</v>
      </c>
      <c r="I58" t="s">
        <v>458</v>
      </c>
      <c r="J58" t="s">
        <v>459</v>
      </c>
      <c r="K58" t="s">
        <v>460</v>
      </c>
      <c r="L58">
        <v>26553684</v>
      </c>
      <c r="N58">
        <v>1013</v>
      </c>
      <c r="O58" t="s">
        <v>387</v>
      </c>
      <c r="P58" t="s">
        <v>387</v>
      </c>
      <c r="Q58">
        <v>1</v>
      </c>
      <c r="X58">
        <v>3.19</v>
      </c>
      <c r="Y58">
        <v>0</v>
      </c>
      <c r="Z58">
        <v>194.94</v>
      </c>
      <c r="AA58">
        <v>14.14</v>
      </c>
      <c r="AB58">
        <v>0</v>
      </c>
      <c r="AC58">
        <v>0</v>
      </c>
      <c r="AD58">
        <v>1</v>
      </c>
      <c r="AE58">
        <v>0</v>
      </c>
      <c r="AF58" t="s">
        <v>138</v>
      </c>
      <c r="AG58">
        <v>3.9874999999999998</v>
      </c>
      <c r="AH58">
        <v>2</v>
      </c>
      <c r="AI58">
        <v>39202342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ROW(Source!A114)</f>
        <v>114</v>
      </c>
      <c r="B59">
        <v>39202357</v>
      </c>
      <c r="C59">
        <v>39202334</v>
      </c>
      <c r="D59">
        <v>26555822</v>
      </c>
      <c r="E59">
        <v>1</v>
      </c>
      <c r="F59">
        <v>1</v>
      </c>
      <c r="G59">
        <v>1</v>
      </c>
      <c r="H59">
        <v>2</v>
      </c>
      <c r="I59" t="s">
        <v>461</v>
      </c>
      <c r="J59" t="s">
        <v>462</v>
      </c>
      <c r="K59" t="s">
        <v>463</v>
      </c>
      <c r="L59">
        <v>26553684</v>
      </c>
      <c r="N59">
        <v>1013</v>
      </c>
      <c r="O59" t="s">
        <v>387</v>
      </c>
      <c r="P59" t="s">
        <v>387</v>
      </c>
      <c r="Q59">
        <v>1</v>
      </c>
      <c r="X59">
        <v>0.08</v>
      </c>
      <c r="Y59">
        <v>0</v>
      </c>
      <c r="Z59">
        <v>86.55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138</v>
      </c>
      <c r="AG59">
        <v>0.1</v>
      </c>
      <c r="AH59">
        <v>2</v>
      </c>
      <c r="AI59">
        <v>39202343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ROW(Source!A114)</f>
        <v>114</v>
      </c>
      <c r="B60">
        <v>39202358</v>
      </c>
      <c r="C60">
        <v>39202334</v>
      </c>
      <c r="D60">
        <v>26557125</v>
      </c>
      <c r="E60">
        <v>1</v>
      </c>
      <c r="F60">
        <v>1</v>
      </c>
      <c r="G60">
        <v>1</v>
      </c>
      <c r="H60">
        <v>3</v>
      </c>
      <c r="I60" t="s">
        <v>464</v>
      </c>
      <c r="J60" t="s">
        <v>465</v>
      </c>
      <c r="K60" t="s">
        <v>466</v>
      </c>
      <c r="L60">
        <v>1348</v>
      </c>
      <c r="N60">
        <v>1009</v>
      </c>
      <c r="O60" t="s">
        <v>169</v>
      </c>
      <c r="P60" t="s">
        <v>169</v>
      </c>
      <c r="Q60">
        <v>1000</v>
      </c>
      <c r="X60">
        <v>2.7799999999999999E-3</v>
      </c>
      <c r="Y60">
        <v>2407.44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2.7799999999999999E-3</v>
      </c>
      <c r="AH60">
        <v>2</v>
      </c>
      <c r="AI60">
        <v>39202344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ROW(Source!A114)</f>
        <v>114</v>
      </c>
      <c r="B61">
        <v>39202359</v>
      </c>
      <c r="C61">
        <v>39202334</v>
      </c>
      <c r="D61">
        <v>26557685</v>
      </c>
      <c r="E61">
        <v>1</v>
      </c>
      <c r="F61">
        <v>1</v>
      </c>
      <c r="G61">
        <v>1</v>
      </c>
      <c r="H61">
        <v>3</v>
      </c>
      <c r="I61" t="s">
        <v>467</v>
      </c>
      <c r="J61" t="s">
        <v>468</v>
      </c>
      <c r="K61" t="s">
        <v>469</v>
      </c>
      <c r="L61">
        <v>1348</v>
      </c>
      <c r="N61">
        <v>1009</v>
      </c>
      <c r="O61" t="s">
        <v>169</v>
      </c>
      <c r="P61" t="s">
        <v>169</v>
      </c>
      <c r="Q61">
        <v>1000</v>
      </c>
      <c r="X61">
        <v>2.14E-3</v>
      </c>
      <c r="Y61">
        <v>5469.5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2.14E-3</v>
      </c>
      <c r="AH61">
        <v>2</v>
      </c>
      <c r="AI61">
        <v>39202345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ROW(Source!A114)</f>
        <v>114</v>
      </c>
      <c r="B62">
        <v>39202360</v>
      </c>
      <c r="C62">
        <v>39202334</v>
      </c>
      <c r="D62">
        <v>26558499</v>
      </c>
      <c r="E62">
        <v>1</v>
      </c>
      <c r="F62">
        <v>1</v>
      </c>
      <c r="G62">
        <v>1</v>
      </c>
      <c r="H62">
        <v>3</v>
      </c>
      <c r="I62" t="s">
        <v>470</v>
      </c>
      <c r="J62" t="s">
        <v>471</v>
      </c>
      <c r="K62" t="s">
        <v>472</v>
      </c>
      <c r="L62">
        <v>1348</v>
      </c>
      <c r="N62">
        <v>1009</v>
      </c>
      <c r="O62" t="s">
        <v>169</v>
      </c>
      <c r="P62" t="s">
        <v>169</v>
      </c>
      <c r="Q62">
        <v>1000</v>
      </c>
      <c r="X62">
        <v>1.0800000000000001E-2</v>
      </c>
      <c r="Y62">
        <v>1559.03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1.0800000000000001E-2</v>
      </c>
      <c r="AH62">
        <v>2</v>
      </c>
      <c r="AI62">
        <v>39202346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ROW(Source!A114)</f>
        <v>114</v>
      </c>
      <c r="B63">
        <v>39202361</v>
      </c>
      <c r="C63">
        <v>39202334</v>
      </c>
      <c r="D63">
        <v>26565908</v>
      </c>
      <c r="E63">
        <v>1</v>
      </c>
      <c r="F63">
        <v>1</v>
      </c>
      <c r="G63">
        <v>1</v>
      </c>
      <c r="H63">
        <v>3</v>
      </c>
      <c r="I63" t="s">
        <v>473</v>
      </c>
      <c r="J63" t="s">
        <v>474</v>
      </c>
      <c r="K63" t="s">
        <v>475</v>
      </c>
      <c r="L63">
        <v>1339</v>
      </c>
      <c r="N63">
        <v>1007</v>
      </c>
      <c r="O63" t="s">
        <v>130</v>
      </c>
      <c r="P63" t="s">
        <v>130</v>
      </c>
      <c r="Q63">
        <v>1</v>
      </c>
      <c r="X63">
        <v>0.28999999999999998</v>
      </c>
      <c r="Y63">
        <v>1173.28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0.28999999999999998</v>
      </c>
      <c r="AH63">
        <v>2</v>
      </c>
      <c r="AI63">
        <v>39202347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ROW(Source!A114)</f>
        <v>114</v>
      </c>
      <c r="B64">
        <v>39202362</v>
      </c>
      <c r="C64">
        <v>39202334</v>
      </c>
      <c r="D64">
        <v>26608025</v>
      </c>
      <c r="E64">
        <v>1</v>
      </c>
      <c r="F64">
        <v>1</v>
      </c>
      <c r="G64">
        <v>1</v>
      </c>
      <c r="H64">
        <v>3</v>
      </c>
      <c r="I64" t="s">
        <v>476</v>
      </c>
      <c r="J64" t="s">
        <v>477</v>
      </c>
      <c r="K64" t="s">
        <v>478</v>
      </c>
      <c r="L64">
        <v>1348</v>
      </c>
      <c r="N64">
        <v>1009</v>
      </c>
      <c r="O64" t="s">
        <v>169</v>
      </c>
      <c r="P64" t="s">
        <v>169</v>
      </c>
      <c r="Q64">
        <v>1000</v>
      </c>
      <c r="X64">
        <v>93.7</v>
      </c>
      <c r="Y64">
        <v>432.35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93.7</v>
      </c>
      <c r="AH64">
        <v>2</v>
      </c>
      <c r="AI64">
        <v>39202348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ROW(Source!A115)</f>
        <v>115</v>
      </c>
      <c r="B65">
        <v>39202367</v>
      </c>
      <c r="C65">
        <v>39202363</v>
      </c>
      <c r="D65">
        <v>24225483</v>
      </c>
      <c r="E65">
        <v>1</v>
      </c>
      <c r="F65">
        <v>1</v>
      </c>
      <c r="G65">
        <v>1</v>
      </c>
      <c r="H65">
        <v>1</v>
      </c>
      <c r="I65" t="s">
        <v>444</v>
      </c>
      <c r="J65" t="s">
        <v>3</v>
      </c>
      <c r="K65" t="s">
        <v>445</v>
      </c>
      <c r="L65">
        <v>1476</v>
      </c>
      <c r="N65">
        <v>1013</v>
      </c>
      <c r="O65" t="s">
        <v>380</v>
      </c>
      <c r="P65" t="s">
        <v>381</v>
      </c>
      <c r="Q65">
        <v>1</v>
      </c>
      <c r="X65">
        <v>0.09</v>
      </c>
      <c r="Y65">
        <v>0</v>
      </c>
      <c r="Z65">
        <v>0</v>
      </c>
      <c r="AA65">
        <v>0</v>
      </c>
      <c r="AB65">
        <v>7.83</v>
      </c>
      <c r="AC65">
        <v>0</v>
      </c>
      <c r="AD65">
        <v>1</v>
      </c>
      <c r="AE65">
        <v>1</v>
      </c>
      <c r="AF65" t="s">
        <v>160</v>
      </c>
      <c r="AG65">
        <v>0.20699999999999999</v>
      </c>
      <c r="AH65">
        <v>2</v>
      </c>
      <c r="AI65">
        <v>39202364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ROW(Source!A115)</f>
        <v>115</v>
      </c>
      <c r="B66">
        <v>39202368</v>
      </c>
      <c r="C66">
        <v>39202363</v>
      </c>
      <c r="D66">
        <v>26558499</v>
      </c>
      <c r="E66">
        <v>1</v>
      </c>
      <c r="F66">
        <v>1</v>
      </c>
      <c r="G66">
        <v>1</v>
      </c>
      <c r="H66">
        <v>3</v>
      </c>
      <c r="I66" t="s">
        <v>470</v>
      </c>
      <c r="J66" t="s">
        <v>471</v>
      </c>
      <c r="K66" t="s">
        <v>472</v>
      </c>
      <c r="L66">
        <v>1348</v>
      </c>
      <c r="N66">
        <v>1009</v>
      </c>
      <c r="O66" t="s">
        <v>169</v>
      </c>
      <c r="P66" t="s">
        <v>169</v>
      </c>
      <c r="Q66">
        <v>1000</v>
      </c>
      <c r="X66">
        <v>1.4E-3</v>
      </c>
      <c r="Y66">
        <v>1559.03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158</v>
      </c>
      <c r="AG66">
        <v>2.8E-3</v>
      </c>
      <c r="AH66">
        <v>2</v>
      </c>
      <c r="AI66">
        <v>39202365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ROW(Source!A115)</f>
        <v>115</v>
      </c>
      <c r="B67">
        <v>39202369</v>
      </c>
      <c r="C67">
        <v>39202363</v>
      </c>
      <c r="D67">
        <v>26608025</v>
      </c>
      <c r="E67">
        <v>1</v>
      </c>
      <c r="F67">
        <v>1</v>
      </c>
      <c r="G67">
        <v>1</v>
      </c>
      <c r="H67">
        <v>3</v>
      </c>
      <c r="I67" t="s">
        <v>476</v>
      </c>
      <c r="J67" t="s">
        <v>477</v>
      </c>
      <c r="K67" t="s">
        <v>478</v>
      </c>
      <c r="L67">
        <v>1348</v>
      </c>
      <c r="N67">
        <v>1009</v>
      </c>
      <c r="O67" t="s">
        <v>169</v>
      </c>
      <c r="P67" t="s">
        <v>169</v>
      </c>
      <c r="Q67">
        <v>1000</v>
      </c>
      <c r="X67">
        <v>11.7</v>
      </c>
      <c r="Y67">
        <v>432.35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158</v>
      </c>
      <c r="AG67">
        <v>23.4</v>
      </c>
      <c r="AH67">
        <v>2</v>
      </c>
      <c r="AI67">
        <v>39202366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ROW(Source!A116)</f>
        <v>116</v>
      </c>
      <c r="B68">
        <v>39202374</v>
      </c>
      <c r="C68">
        <v>39202370</v>
      </c>
      <c r="D68">
        <v>121548</v>
      </c>
      <c r="E68">
        <v>1</v>
      </c>
      <c r="F68">
        <v>1</v>
      </c>
      <c r="G68">
        <v>1</v>
      </c>
      <c r="H68">
        <v>1</v>
      </c>
      <c r="I68" t="s">
        <v>26</v>
      </c>
      <c r="J68" t="s">
        <v>3</v>
      </c>
      <c r="K68" t="s">
        <v>382</v>
      </c>
      <c r="L68">
        <v>608254</v>
      </c>
      <c r="N68">
        <v>1013</v>
      </c>
      <c r="O68" t="s">
        <v>383</v>
      </c>
      <c r="P68" t="s">
        <v>383</v>
      </c>
      <c r="Q68">
        <v>1</v>
      </c>
      <c r="X68">
        <v>0.66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12</v>
      </c>
      <c r="AG68">
        <v>0.82500000000000007</v>
      </c>
      <c r="AH68">
        <v>2</v>
      </c>
      <c r="AI68">
        <v>39202371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ROW(Source!A116)</f>
        <v>116</v>
      </c>
      <c r="B69">
        <v>39202375</v>
      </c>
      <c r="C69">
        <v>39202370</v>
      </c>
      <c r="D69">
        <v>26554388</v>
      </c>
      <c r="E69">
        <v>1</v>
      </c>
      <c r="F69">
        <v>1</v>
      </c>
      <c r="G69">
        <v>1</v>
      </c>
      <c r="H69">
        <v>2</v>
      </c>
      <c r="I69" t="s">
        <v>438</v>
      </c>
      <c r="J69" t="s">
        <v>439</v>
      </c>
      <c r="K69" t="s">
        <v>440</v>
      </c>
      <c r="L69">
        <v>26553684</v>
      </c>
      <c r="N69">
        <v>1013</v>
      </c>
      <c r="O69" t="s">
        <v>387</v>
      </c>
      <c r="P69" t="s">
        <v>387</v>
      </c>
      <c r="Q69">
        <v>1</v>
      </c>
      <c r="X69">
        <v>0.33</v>
      </c>
      <c r="Y69">
        <v>0</v>
      </c>
      <c r="Z69">
        <v>119.57</v>
      </c>
      <c r="AA69">
        <v>21.26</v>
      </c>
      <c r="AB69">
        <v>0</v>
      </c>
      <c r="AC69">
        <v>0</v>
      </c>
      <c r="AD69">
        <v>1</v>
      </c>
      <c r="AE69">
        <v>0</v>
      </c>
      <c r="AF69" t="s">
        <v>12</v>
      </c>
      <c r="AG69">
        <v>0.41250000000000003</v>
      </c>
      <c r="AH69">
        <v>2</v>
      </c>
      <c r="AI69">
        <v>39202372</v>
      </c>
      <c r="AJ69">
        <v>68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ROW(Source!A116)</f>
        <v>116</v>
      </c>
      <c r="B70">
        <v>39202376</v>
      </c>
      <c r="C70">
        <v>39202370</v>
      </c>
      <c r="D70">
        <v>26558501</v>
      </c>
      <c r="E70">
        <v>1</v>
      </c>
      <c r="F70">
        <v>1</v>
      </c>
      <c r="G70">
        <v>1</v>
      </c>
      <c r="H70">
        <v>3</v>
      </c>
      <c r="I70" t="s">
        <v>441</v>
      </c>
      <c r="J70" t="s">
        <v>442</v>
      </c>
      <c r="K70" t="s">
        <v>443</v>
      </c>
      <c r="L70">
        <v>1348</v>
      </c>
      <c r="N70">
        <v>1009</v>
      </c>
      <c r="O70" t="s">
        <v>169</v>
      </c>
      <c r="P70" t="s">
        <v>169</v>
      </c>
      <c r="Q70">
        <v>1000</v>
      </c>
      <c r="X70">
        <v>1.03</v>
      </c>
      <c r="Y70">
        <v>1424.35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1.03</v>
      </c>
      <c r="AH70">
        <v>2</v>
      </c>
      <c r="AI70">
        <v>39202373</v>
      </c>
      <c r="AJ70">
        <v>69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ROW(Source!A117)</f>
        <v>117</v>
      </c>
      <c r="B71">
        <v>39202392</v>
      </c>
      <c r="C71">
        <v>39202377</v>
      </c>
      <c r="D71">
        <v>24225483</v>
      </c>
      <c r="E71">
        <v>1</v>
      </c>
      <c r="F71">
        <v>1</v>
      </c>
      <c r="G71">
        <v>1</v>
      </c>
      <c r="H71">
        <v>1</v>
      </c>
      <c r="I71" t="s">
        <v>444</v>
      </c>
      <c r="J71" t="s">
        <v>3</v>
      </c>
      <c r="K71" t="s">
        <v>445</v>
      </c>
      <c r="L71">
        <v>1476</v>
      </c>
      <c r="N71">
        <v>1013</v>
      </c>
      <c r="O71" t="s">
        <v>380</v>
      </c>
      <c r="P71" t="s">
        <v>381</v>
      </c>
      <c r="Q71">
        <v>1</v>
      </c>
      <c r="X71">
        <v>38.299999999999997</v>
      </c>
      <c r="Y71">
        <v>0</v>
      </c>
      <c r="Z71">
        <v>0</v>
      </c>
      <c r="AA71">
        <v>0</v>
      </c>
      <c r="AB71">
        <v>7.83</v>
      </c>
      <c r="AC71">
        <v>0</v>
      </c>
      <c r="AD71">
        <v>1</v>
      </c>
      <c r="AE71">
        <v>1</v>
      </c>
      <c r="AF71" t="s">
        <v>13</v>
      </c>
      <c r="AG71">
        <v>44.044999999999995</v>
      </c>
      <c r="AH71">
        <v>2</v>
      </c>
      <c r="AI71">
        <v>39202378</v>
      </c>
      <c r="AJ71">
        <v>70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ROW(Source!A117)</f>
        <v>117</v>
      </c>
      <c r="B72">
        <v>39202393</v>
      </c>
      <c r="C72">
        <v>39202377</v>
      </c>
      <c r="D72">
        <v>121548</v>
      </c>
      <c r="E72">
        <v>1</v>
      </c>
      <c r="F72">
        <v>1</v>
      </c>
      <c r="G72">
        <v>1</v>
      </c>
      <c r="H72">
        <v>1</v>
      </c>
      <c r="I72" t="s">
        <v>26</v>
      </c>
      <c r="J72" t="s">
        <v>3</v>
      </c>
      <c r="K72" t="s">
        <v>382</v>
      </c>
      <c r="L72">
        <v>608254</v>
      </c>
      <c r="N72">
        <v>1013</v>
      </c>
      <c r="O72" t="s">
        <v>383</v>
      </c>
      <c r="P72" t="s">
        <v>383</v>
      </c>
      <c r="Q72">
        <v>1</v>
      </c>
      <c r="X72">
        <v>19.079999999999998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2</v>
      </c>
      <c r="AF72" t="s">
        <v>12</v>
      </c>
      <c r="AG72">
        <v>23.849999999999998</v>
      </c>
      <c r="AH72">
        <v>2</v>
      </c>
      <c r="AI72">
        <v>39202379</v>
      </c>
      <c r="AJ72">
        <v>71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ROW(Source!A117)</f>
        <v>117</v>
      </c>
      <c r="B73">
        <v>39202394</v>
      </c>
      <c r="C73">
        <v>39202377</v>
      </c>
      <c r="D73">
        <v>26553813</v>
      </c>
      <c r="E73">
        <v>1</v>
      </c>
      <c r="F73">
        <v>1</v>
      </c>
      <c r="G73">
        <v>1</v>
      </c>
      <c r="H73">
        <v>2</v>
      </c>
      <c r="I73" t="s">
        <v>446</v>
      </c>
      <c r="J73" t="s">
        <v>447</v>
      </c>
      <c r="K73" t="s">
        <v>448</v>
      </c>
      <c r="L73">
        <v>26553684</v>
      </c>
      <c r="N73">
        <v>1013</v>
      </c>
      <c r="O73" t="s">
        <v>387</v>
      </c>
      <c r="P73" t="s">
        <v>387</v>
      </c>
      <c r="Q73">
        <v>1</v>
      </c>
      <c r="X73">
        <v>0.03</v>
      </c>
      <c r="Y73">
        <v>0</v>
      </c>
      <c r="Z73">
        <v>111.75</v>
      </c>
      <c r="AA73">
        <v>13.26</v>
      </c>
      <c r="AB73">
        <v>0</v>
      </c>
      <c r="AC73">
        <v>0</v>
      </c>
      <c r="AD73">
        <v>1</v>
      </c>
      <c r="AE73">
        <v>0</v>
      </c>
      <c r="AF73" t="s">
        <v>12</v>
      </c>
      <c r="AG73">
        <v>3.7499999999999999E-2</v>
      </c>
      <c r="AH73">
        <v>2</v>
      </c>
      <c r="AI73">
        <v>39202380</v>
      </c>
      <c r="AJ73">
        <v>72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ROW(Source!A117)</f>
        <v>117</v>
      </c>
      <c r="B74">
        <v>39202395</v>
      </c>
      <c r="C74">
        <v>39202377</v>
      </c>
      <c r="D74">
        <v>26554401</v>
      </c>
      <c r="E74">
        <v>1</v>
      </c>
      <c r="F74">
        <v>1</v>
      </c>
      <c r="G74">
        <v>1</v>
      </c>
      <c r="H74">
        <v>2</v>
      </c>
      <c r="I74" t="s">
        <v>449</v>
      </c>
      <c r="J74" t="s">
        <v>450</v>
      </c>
      <c r="K74" t="s">
        <v>451</v>
      </c>
      <c r="L74">
        <v>26553684</v>
      </c>
      <c r="N74">
        <v>1013</v>
      </c>
      <c r="O74" t="s">
        <v>387</v>
      </c>
      <c r="P74" t="s">
        <v>387</v>
      </c>
      <c r="Q74">
        <v>1</v>
      </c>
      <c r="X74">
        <v>1.4</v>
      </c>
      <c r="Y74">
        <v>0</v>
      </c>
      <c r="Z74">
        <v>17.2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12</v>
      </c>
      <c r="AG74">
        <v>1.75</v>
      </c>
      <c r="AH74">
        <v>2</v>
      </c>
      <c r="AI74">
        <v>39202381</v>
      </c>
      <c r="AJ74">
        <v>73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ROW(Source!A117)</f>
        <v>117</v>
      </c>
      <c r="B75">
        <v>39202396</v>
      </c>
      <c r="C75">
        <v>39202377</v>
      </c>
      <c r="D75">
        <v>26554420</v>
      </c>
      <c r="E75">
        <v>1</v>
      </c>
      <c r="F75">
        <v>1</v>
      </c>
      <c r="G75">
        <v>1</v>
      </c>
      <c r="H75">
        <v>2</v>
      </c>
      <c r="I75" t="s">
        <v>452</v>
      </c>
      <c r="J75" t="s">
        <v>453</v>
      </c>
      <c r="K75" t="s">
        <v>454</v>
      </c>
      <c r="L75">
        <v>26553684</v>
      </c>
      <c r="N75">
        <v>1013</v>
      </c>
      <c r="O75" t="s">
        <v>387</v>
      </c>
      <c r="P75" t="s">
        <v>387</v>
      </c>
      <c r="Q75">
        <v>1</v>
      </c>
      <c r="X75">
        <v>3.96</v>
      </c>
      <c r="Y75">
        <v>0</v>
      </c>
      <c r="Z75">
        <v>74.78</v>
      </c>
      <c r="AA75">
        <v>11.38</v>
      </c>
      <c r="AB75">
        <v>0</v>
      </c>
      <c r="AC75">
        <v>0</v>
      </c>
      <c r="AD75">
        <v>1</v>
      </c>
      <c r="AE75">
        <v>0</v>
      </c>
      <c r="AF75" t="s">
        <v>12</v>
      </c>
      <c r="AG75">
        <v>4.95</v>
      </c>
      <c r="AH75">
        <v>2</v>
      </c>
      <c r="AI75">
        <v>39202382</v>
      </c>
      <c r="AJ75">
        <v>74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ROW(Source!A117)</f>
        <v>117</v>
      </c>
      <c r="B76">
        <v>39202397</v>
      </c>
      <c r="C76">
        <v>39202377</v>
      </c>
      <c r="D76">
        <v>26554421</v>
      </c>
      <c r="E76">
        <v>1</v>
      </c>
      <c r="F76">
        <v>1</v>
      </c>
      <c r="G76">
        <v>1</v>
      </c>
      <c r="H76">
        <v>2</v>
      </c>
      <c r="I76" t="s">
        <v>455</v>
      </c>
      <c r="J76" t="s">
        <v>456</v>
      </c>
      <c r="K76" t="s">
        <v>457</v>
      </c>
      <c r="L76">
        <v>26553684</v>
      </c>
      <c r="N76">
        <v>1013</v>
      </c>
      <c r="O76" t="s">
        <v>387</v>
      </c>
      <c r="P76" t="s">
        <v>387</v>
      </c>
      <c r="Q76">
        <v>1</v>
      </c>
      <c r="X76">
        <v>11.51</v>
      </c>
      <c r="Y76">
        <v>0</v>
      </c>
      <c r="Z76">
        <v>120.74</v>
      </c>
      <c r="AA76">
        <v>14.14</v>
      </c>
      <c r="AB76">
        <v>0</v>
      </c>
      <c r="AC76">
        <v>0</v>
      </c>
      <c r="AD76">
        <v>1</v>
      </c>
      <c r="AE76">
        <v>0</v>
      </c>
      <c r="AF76" t="s">
        <v>12</v>
      </c>
      <c r="AG76">
        <v>14.387499999999999</v>
      </c>
      <c r="AH76">
        <v>2</v>
      </c>
      <c r="AI76">
        <v>39202383</v>
      </c>
      <c r="AJ76">
        <v>75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ROW(Source!A117)</f>
        <v>117</v>
      </c>
      <c r="B77">
        <v>39202398</v>
      </c>
      <c r="C77">
        <v>39202377</v>
      </c>
      <c r="D77">
        <v>26554486</v>
      </c>
      <c r="E77">
        <v>1</v>
      </c>
      <c r="F77">
        <v>1</v>
      </c>
      <c r="G77">
        <v>1</v>
      </c>
      <c r="H77">
        <v>2</v>
      </c>
      <c r="I77" t="s">
        <v>399</v>
      </c>
      <c r="J77" t="s">
        <v>400</v>
      </c>
      <c r="K77" t="s">
        <v>401</v>
      </c>
      <c r="L77">
        <v>26553684</v>
      </c>
      <c r="N77">
        <v>1013</v>
      </c>
      <c r="O77" t="s">
        <v>387</v>
      </c>
      <c r="P77" t="s">
        <v>387</v>
      </c>
      <c r="Q77">
        <v>1</v>
      </c>
      <c r="X77">
        <v>0.39</v>
      </c>
      <c r="Y77">
        <v>0</v>
      </c>
      <c r="Z77">
        <v>110</v>
      </c>
      <c r="AA77">
        <v>11.38</v>
      </c>
      <c r="AB77">
        <v>0</v>
      </c>
      <c r="AC77">
        <v>0</v>
      </c>
      <c r="AD77">
        <v>1</v>
      </c>
      <c r="AE77">
        <v>0</v>
      </c>
      <c r="AF77" t="s">
        <v>12</v>
      </c>
      <c r="AG77">
        <v>0.48750000000000004</v>
      </c>
      <c r="AH77">
        <v>2</v>
      </c>
      <c r="AI77">
        <v>39202384</v>
      </c>
      <c r="AJ77">
        <v>76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ROW(Source!A117)</f>
        <v>117</v>
      </c>
      <c r="B78">
        <v>39202399</v>
      </c>
      <c r="C78">
        <v>39202377</v>
      </c>
      <c r="D78">
        <v>26554510</v>
      </c>
      <c r="E78">
        <v>1</v>
      </c>
      <c r="F78">
        <v>1</v>
      </c>
      <c r="G78">
        <v>1</v>
      </c>
      <c r="H78">
        <v>2</v>
      </c>
      <c r="I78" t="s">
        <v>458</v>
      </c>
      <c r="J78" t="s">
        <v>459</v>
      </c>
      <c r="K78" t="s">
        <v>460</v>
      </c>
      <c r="L78">
        <v>26553684</v>
      </c>
      <c r="N78">
        <v>1013</v>
      </c>
      <c r="O78" t="s">
        <v>387</v>
      </c>
      <c r="P78" t="s">
        <v>387</v>
      </c>
      <c r="Q78">
        <v>1</v>
      </c>
      <c r="X78">
        <v>3.19</v>
      </c>
      <c r="Y78">
        <v>0</v>
      </c>
      <c r="Z78">
        <v>194.94</v>
      </c>
      <c r="AA78">
        <v>14.14</v>
      </c>
      <c r="AB78">
        <v>0</v>
      </c>
      <c r="AC78">
        <v>0</v>
      </c>
      <c r="AD78">
        <v>1</v>
      </c>
      <c r="AE78">
        <v>0</v>
      </c>
      <c r="AF78" t="s">
        <v>12</v>
      </c>
      <c r="AG78">
        <v>3.9874999999999998</v>
      </c>
      <c r="AH78">
        <v>2</v>
      </c>
      <c r="AI78">
        <v>39202385</v>
      </c>
      <c r="AJ78">
        <v>77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ROW(Source!A117)</f>
        <v>117</v>
      </c>
      <c r="B79">
        <v>39202400</v>
      </c>
      <c r="C79">
        <v>39202377</v>
      </c>
      <c r="D79">
        <v>26555822</v>
      </c>
      <c r="E79">
        <v>1</v>
      </c>
      <c r="F79">
        <v>1</v>
      </c>
      <c r="G79">
        <v>1</v>
      </c>
      <c r="H79">
        <v>2</v>
      </c>
      <c r="I79" t="s">
        <v>461</v>
      </c>
      <c r="J79" t="s">
        <v>462</v>
      </c>
      <c r="K79" t="s">
        <v>463</v>
      </c>
      <c r="L79">
        <v>26553684</v>
      </c>
      <c r="N79">
        <v>1013</v>
      </c>
      <c r="O79" t="s">
        <v>387</v>
      </c>
      <c r="P79" t="s">
        <v>387</v>
      </c>
      <c r="Q79">
        <v>1</v>
      </c>
      <c r="X79">
        <v>0.04</v>
      </c>
      <c r="Y79">
        <v>0</v>
      </c>
      <c r="Z79">
        <v>86.55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12</v>
      </c>
      <c r="AG79">
        <v>0.05</v>
      </c>
      <c r="AH79">
        <v>2</v>
      </c>
      <c r="AI79">
        <v>39202386</v>
      </c>
      <c r="AJ79">
        <v>78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ROW(Source!A117)</f>
        <v>117</v>
      </c>
      <c r="B80">
        <v>39202401</v>
      </c>
      <c r="C80">
        <v>39202377</v>
      </c>
      <c r="D80">
        <v>26557685</v>
      </c>
      <c r="E80">
        <v>1</v>
      </c>
      <c r="F80">
        <v>1</v>
      </c>
      <c r="G80">
        <v>1</v>
      </c>
      <c r="H80">
        <v>3</v>
      </c>
      <c r="I80" t="s">
        <v>467</v>
      </c>
      <c r="J80" t="s">
        <v>468</v>
      </c>
      <c r="K80" t="s">
        <v>469</v>
      </c>
      <c r="L80">
        <v>1348</v>
      </c>
      <c r="N80">
        <v>1009</v>
      </c>
      <c r="O80" t="s">
        <v>169</v>
      </c>
      <c r="P80" t="s">
        <v>169</v>
      </c>
      <c r="Q80">
        <v>1000</v>
      </c>
      <c r="X80">
        <v>6.1999999999999998E-3</v>
      </c>
      <c r="Y80">
        <v>5469.5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6.1999999999999998E-3</v>
      </c>
      <c r="AH80">
        <v>2</v>
      </c>
      <c r="AI80">
        <v>39202387</v>
      </c>
      <c r="AJ80">
        <v>79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ROW(Source!A117)</f>
        <v>117</v>
      </c>
      <c r="B81">
        <v>39202402</v>
      </c>
      <c r="C81">
        <v>39202377</v>
      </c>
      <c r="D81">
        <v>26558499</v>
      </c>
      <c r="E81">
        <v>1</v>
      </c>
      <c r="F81">
        <v>1</v>
      </c>
      <c r="G81">
        <v>1</v>
      </c>
      <c r="H81">
        <v>3</v>
      </c>
      <c r="I81" t="s">
        <v>470</v>
      </c>
      <c r="J81" t="s">
        <v>471</v>
      </c>
      <c r="K81" t="s">
        <v>472</v>
      </c>
      <c r="L81">
        <v>1348</v>
      </c>
      <c r="N81">
        <v>1009</v>
      </c>
      <c r="O81" t="s">
        <v>169</v>
      </c>
      <c r="P81" t="s">
        <v>169</v>
      </c>
      <c r="Q81">
        <v>1000</v>
      </c>
      <c r="X81">
        <v>1.0800000000000001E-2</v>
      </c>
      <c r="Y81">
        <v>1559.03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1.0800000000000001E-2</v>
      </c>
      <c r="AH81">
        <v>2</v>
      </c>
      <c r="AI81">
        <v>39202388</v>
      </c>
      <c r="AJ81">
        <v>80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ROW(Source!A117)</f>
        <v>117</v>
      </c>
      <c r="B82">
        <v>39202403</v>
      </c>
      <c r="C82">
        <v>39202377</v>
      </c>
      <c r="D82">
        <v>26565908</v>
      </c>
      <c r="E82">
        <v>1</v>
      </c>
      <c r="F82">
        <v>1</v>
      </c>
      <c r="G82">
        <v>1</v>
      </c>
      <c r="H82">
        <v>3</v>
      </c>
      <c r="I82" t="s">
        <v>473</v>
      </c>
      <c r="J82" t="s">
        <v>474</v>
      </c>
      <c r="K82" t="s">
        <v>475</v>
      </c>
      <c r="L82">
        <v>1339</v>
      </c>
      <c r="N82">
        <v>1007</v>
      </c>
      <c r="O82" t="s">
        <v>130</v>
      </c>
      <c r="P82" t="s">
        <v>130</v>
      </c>
      <c r="Q82">
        <v>1</v>
      </c>
      <c r="X82">
        <v>0.15</v>
      </c>
      <c r="Y82">
        <v>1173.28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0.15</v>
      </c>
      <c r="AH82">
        <v>2</v>
      </c>
      <c r="AI82">
        <v>39202389</v>
      </c>
      <c r="AJ82">
        <v>81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ROW(Source!A117)</f>
        <v>117</v>
      </c>
      <c r="B83">
        <v>39202404</v>
      </c>
      <c r="C83">
        <v>39202377</v>
      </c>
      <c r="D83">
        <v>26608007</v>
      </c>
      <c r="E83">
        <v>1</v>
      </c>
      <c r="F83">
        <v>1</v>
      </c>
      <c r="G83">
        <v>1</v>
      </c>
      <c r="H83">
        <v>3</v>
      </c>
      <c r="I83" t="s">
        <v>167</v>
      </c>
      <c r="J83" t="s">
        <v>170</v>
      </c>
      <c r="K83" t="s">
        <v>168</v>
      </c>
      <c r="L83">
        <v>1348</v>
      </c>
      <c r="N83">
        <v>1009</v>
      </c>
      <c r="O83" t="s">
        <v>169</v>
      </c>
      <c r="P83" t="s">
        <v>169</v>
      </c>
      <c r="Q83">
        <v>1000</v>
      </c>
      <c r="X83">
        <v>96.6</v>
      </c>
      <c r="Y83">
        <v>422.2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96.6</v>
      </c>
      <c r="AH83">
        <v>2</v>
      </c>
      <c r="AI83">
        <v>39202390</v>
      </c>
      <c r="AJ83">
        <v>82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ROW(Source!A120)</f>
        <v>120</v>
      </c>
      <c r="B84">
        <v>39202413</v>
      </c>
      <c r="C84">
        <v>39202407</v>
      </c>
      <c r="D84">
        <v>24225483</v>
      </c>
      <c r="E84">
        <v>1</v>
      </c>
      <c r="F84">
        <v>1</v>
      </c>
      <c r="G84">
        <v>1</v>
      </c>
      <c r="H84">
        <v>1</v>
      </c>
      <c r="I84" t="s">
        <v>444</v>
      </c>
      <c r="J84" t="s">
        <v>3</v>
      </c>
      <c r="K84" t="s">
        <v>445</v>
      </c>
      <c r="L84">
        <v>1476</v>
      </c>
      <c r="N84">
        <v>1013</v>
      </c>
      <c r="O84" t="s">
        <v>380</v>
      </c>
      <c r="P84" t="s">
        <v>381</v>
      </c>
      <c r="Q84">
        <v>1</v>
      </c>
      <c r="X84">
        <v>0.09</v>
      </c>
      <c r="Y84">
        <v>0</v>
      </c>
      <c r="Z84">
        <v>0</v>
      </c>
      <c r="AA84">
        <v>0</v>
      </c>
      <c r="AB84">
        <v>7.83</v>
      </c>
      <c r="AC84">
        <v>0</v>
      </c>
      <c r="AD84">
        <v>1</v>
      </c>
      <c r="AE84">
        <v>1</v>
      </c>
      <c r="AF84" t="s">
        <v>160</v>
      </c>
      <c r="AG84">
        <v>0.20699999999999999</v>
      </c>
      <c r="AH84">
        <v>2</v>
      </c>
      <c r="AI84">
        <v>39202408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ROW(Source!A120)</f>
        <v>120</v>
      </c>
      <c r="B85">
        <v>39202414</v>
      </c>
      <c r="C85">
        <v>39202407</v>
      </c>
      <c r="D85">
        <v>26554401</v>
      </c>
      <c r="E85">
        <v>1</v>
      </c>
      <c r="F85">
        <v>1</v>
      </c>
      <c r="G85">
        <v>1</v>
      </c>
      <c r="H85">
        <v>2</v>
      </c>
      <c r="I85" t="s">
        <v>449</v>
      </c>
      <c r="J85" t="s">
        <v>450</v>
      </c>
      <c r="K85" t="s">
        <v>451</v>
      </c>
      <c r="L85">
        <v>26553684</v>
      </c>
      <c r="N85">
        <v>1013</v>
      </c>
      <c r="O85" t="s">
        <v>387</v>
      </c>
      <c r="P85" t="s">
        <v>387</v>
      </c>
      <c r="Q85">
        <v>1</v>
      </c>
      <c r="X85">
        <v>0.18</v>
      </c>
      <c r="Y85">
        <v>0</v>
      </c>
      <c r="Z85">
        <v>17.2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159</v>
      </c>
      <c r="AG85">
        <v>0.44999999999999996</v>
      </c>
      <c r="AH85">
        <v>2</v>
      </c>
      <c r="AI85">
        <v>39202409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ROW(Source!A120)</f>
        <v>120</v>
      </c>
      <c r="B86">
        <v>39202415</v>
      </c>
      <c r="C86">
        <v>39202407</v>
      </c>
      <c r="D86">
        <v>26558499</v>
      </c>
      <c r="E86">
        <v>1</v>
      </c>
      <c r="F86">
        <v>1</v>
      </c>
      <c r="G86">
        <v>1</v>
      </c>
      <c r="H86">
        <v>3</v>
      </c>
      <c r="I86" t="s">
        <v>470</v>
      </c>
      <c r="J86" t="s">
        <v>471</v>
      </c>
      <c r="K86" t="s">
        <v>472</v>
      </c>
      <c r="L86">
        <v>1348</v>
      </c>
      <c r="N86">
        <v>1009</v>
      </c>
      <c r="O86" t="s">
        <v>169</v>
      </c>
      <c r="P86" t="s">
        <v>169</v>
      </c>
      <c r="Q86">
        <v>1000</v>
      </c>
      <c r="X86">
        <v>1.4E-3</v>
      </c>
      <c r="Y86">
        <v>1559.03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158</v>
      </c>
      <c r="AG86">
        <v>2.8E-3</v>
      </c>
      <c r="AH86">
        <v>2</v>
      </c>
      <c r="AI86">
        <v>39202410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ROW(Source!A120)</f>
        <v>120</v>
      </c>
      <c r="B87">
        <v>39202416</v>
      </c>
      <c r="C87">
        <v>39202407</v>
      </c>
      <c r="D87">
        <v>26608007</v>
      </c>
      <c r="E87">
        <v>1</v>
      </c>
      <c r="F87">
        <v>1</v>
      </c>
      <c r="G87">
        <v>1</v>
      </c>
      <c r="H87">
        <v>3</v>
      </c>
      <c r="I87" t="s">
        <v>167</v>
      </c>
      <c r="J87" t="s">
        <v>170</v>
      </c>
      <c r="K87" t="s">
        <v>168</v>
      </c>
      <c r="L87">
        <v>1348</v>
      </c>
      <c r="N87">
        <v>1009</v>
      </c>
      <c r="O87" t="s">
        <v>169</v>
      </c>
      <c r="P87" t="s">
        <v>169</v>
      </c>
      <c r="Q87">
        <v>1000</v>
      </c>
      <c r="X87">
        <v>12.1</v>
      </c>
      <c r="Y87">
        <v>422.2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158</v>
      </c>
      <c r="AG87">
        <v>24.2</v>
      </c>
      <c r="AH87">
        <v>2</v>
      </c>
      <c r="AI87">
        <v>39202411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ROW(Source!A158)</f>
        <v>158</v>
      </c>
      <c r="B88">
        <v>39202421</v>
      </c>
      <c r="C88">
        <v>39202419</v>
      </c>
      <c r="D88">
        <v>24233608</v>
      </c>
      <c r="E88">
        <v>1</v>
      </c>
      <c r="F88">
        <v>1</v>
      </c>
      <c r="G88">
        <v>1</v>
      </c>
      <c r="H88">
        <v>1</v>
      </c>
      <c r="I88" t="s">
        <v>419</v>
      </c>
      <c r="J88" t="s">
        <v>3</v>
      </c>
      <c r="K88" t="s">
        <v>420</v>
      </c>
      <c r="L88">
        <v>1476</v>
      </c>
      <c r="N88">
        <v>1013</v>
      </c>
      <c r="O88" t="s">
        <v>380</v>
      </c>
      <c r="P88" t="s">
        <v>381</v>
      </c>
      <c r="Q88">
        <v>1</v>
      </c>
      <c r="X88">
        <v>154</v>
      </c>
      <c r="Y88">
        <v>0</v>
      </c>
      <c r="Z88">
        <v>0</v>
      </c>
      <c r="AA88">
        <v>0</v>
      </c>
      <c r="AB88">
        <v>6.35</v>
      </c>
      <c r="AC88">
        <v>0</v>
      </c>
      <c r="AD88">
        <v>1</v>
      </c>
      <c r="AE88">
        <v>1</v>
      </c>
      <c r="AF88" t="s">
        <v>13</v>
      </c>
      <c r="AG88">
        <v>177.1</v>
      </c>
      <c r="AH88">
        <v>2</v>
      </c>
      <c r="AI88">
        <v>39202420</v>
      </c>
      <c r="AJ88">
        <v>89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ROW(Source!A159)</f>
        <v>159</v>
      </c>
      <c r="B89">
        <v>39202432</v>
      </c>
      <c r="C89">
        <v>39202422</v>
      </c>
      <c r="D89">
        <v>24233887</v>
      </c>
      <c r="E89">
        <v>1</v>
      </c>
      <c r="F89">
        <v>1</v>
      </c>
      <c r="G89">
        <v>1</v>
      </c>
      <c r="H89">
        <v>1</v>
      </c>
      <c r="I89" t="s">
        <v>378</v>
      </c>
      <c r="J89" t="s">
        <v>3</v>
      </c>
      <c r="K89" t="s">
        <v>379</v>
      </c>
      <c r="L89">
        <v>1476</v>
      </c>
      <c r="N89">
        <v>1013</v>
      </c>
      <c r="O89" t="s">
        <v>380</v>
      </c>
      <c r="P89" t="s">
        <v>381</v>
      </c>
      <c r="Q89">
        <v>1</v>
      </c>
      <c r="X89">
        <v>24.19</v>
      </c>
      <c r="Y89">
        <v>0</v>
      </c>
      <c r="Z89">
        <v>0</v>
      </c>
      <c r="AA89">
        <v>0</v>
      </c>
      <c r="AB89">
        <v>6.58</v>
      </c>
      <c r="AC89">
        <v>0</v>
      </c>
      <c r="AD89">
        <v>1</v>
      </c>
      <c r="AE89">
        <v>1</v>
      </c>
      <c r="AF89" t="s">
        <v>13</v>
      </c>
      <c r="AG89">
        <v>27.8185</v>
      </c>
      <c r="AH89">
        <v>2</v>
      </c>
      <c r="AI89">
        <v>39202423</v>
      </c>
      <c r="AJ89">
        <v>90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ROW(Source!A159)</f>
        <v>159</v>
      </c>
      <c r="B90">
        <v>39202433</v>
      </c>
      <c r="C90">
        <v>39202422</v>
      </c>
      <c r="D90">
        <v>121548</v>
      </c>
      <c r="E90">
        <v>1</v>
      </c>
      <c r="F90">
        <v>1</v>
      </c>
      <c r="G90">
        <v>1</v>
      </c>
      <c r="H90">
        <v>1</v>
      </c>
      <c r="I90" t="s">
        <v>26</v>
      </c>
      <c r="J90" t="s">
        <v>3</v>
      </c>
      <c r="K90" t="s">
        <v>382</v>
      </c>
      <c r="L90">
        <v>608254</v>
      </c>
      <c r="N90">
        <v>1013</v>
      </c>
      <c r="O90" t="s">
        <v>383</v>
      </c>
      <c r="P90" t="s">
        <v>383</v>
      </c>
      <c r="Q90">
        <v>1</v>
      </c>
      <c r="X90">
        <v>20.6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2</v>
      </c>
      <c r="AF90" t="s">
        <v>12</v>
      </c>
      <c r="AG90">
        <v>25.75</v>
      </c>
      <c r="AH90">
        <v>2</v>
      </c>
      <c r="AI90">
        <v>39202424</v>
      </c>
      <c r="AJ90">
        <v>91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ROW(Source!A159)</f>
        <v>159</v>
      </c>
      <c r="B91">
        <v>39202434</v>
      </c>
      <c r="C91">
        <v>39202422</v>
      </c>
      <c r="D91">
        <v>26553886</v>
      </c>
      <c r="E91">
        <v>1</v>
      </c>
      <c r="F91">
        <v>1</v>
      </c>
      <c r="G91">
        <v>1</v>
      </c>
      <c r="H91">
        <v>2</v>
      </c>
      <c r="I91" t="s">
        <v>429</v>
      </c>
      <c r="J91" t="s">
        <v>430</v>
      </c>
      <c r="K91" t="s">
        <v>431</v>
      </c>
      <c r="L91">
        <v>26553684</v>
      </c>
      <c r="N91">
        <v>1013</v>
      </c>
      <c r="O91" t="s">
        <v>387</v>
      </c>
      <c r="P91" t="s">
        <v>387</v>
      </c>
      <c r="Q91">
        <v>1</v>
      </c>
      <c r="X91">
        <v>2.46</v>
      </c>
      <c r="Y91">
        <v>0</v>
      </c>
      <c r="Z91">
        <v>89.81</v>
      </c>
      <c r="AA91">
        <v>9.8800000000000008</v>
      </c>
      <c r="AB91">
        <v>0</v>
      </c>
      <c r="AC91">
        <v>0</v>
      </c>
      <c r="AD91">
        <v>1</v>
      </c>
      <c r="AE91">
        <v>0</v>
      </c>
      <c r="AF91" t="s">
        <v>12</v>
      </c>
      <c r="AG91">
        <v>3.0750000000000002</v>
      </c>
      <c r="AH91">
        <v>2</v>
      </c>
      <c r="AI91">
        <v>39202425</v>
      </c>
      <c r="AJ91">
        <v>92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ROW(Source!A159)</f>
        <v>159</v>
      </c>
      <c r="B92">
        <v>39202435</v>
      </c>
      <c r="C92">
        <v>39202422</v>
      </c>
      <c r="D92">
        <v>26554179</v>
      </c>
      <c r="E92">
        <v>1</v>
      </c>
      <c r="F92">
        <v>1</v>
      </c>
      <c r="G92">
        <v>1</v>
      </c>
      <c r="H92">
        <v>2</v>
      </c>
      <c r="I92" t="s">
        <v>388</v>
      </c>
      <c r="J92" t="s">
        <v>389</v>
      </c>
      <c r="K92" t="s">
        <v>390</v>
      </c>
      <c r="L92">
        <v>26553684</v>
      </c>
      <c r="N92">
        <v>1013</v>
      </c>
      <c r="O92" t="s">
        <v>387</v>
      </c>
      <c r="P92" t="s">
        <v>387</v>
      </c>
      <c r="Q92">
        <v>1</v>
      </c>
      <c r="X92">
        <v>2.59</v>
      </c>
      <c r="Y92">
        <v>0</v>
      </c>
      <c r="Z92">
        <v>79.75</v>
      </c>
      <c r="AA92">
        <v>13.26</v>
      </c>
      <c r="AB92">
        <v>0</v>
      </c>
      <c r="AC92">
        <v>0</v>
      </c>
      <c r="AD92">
        <v>1</v>
      </c>
      <c r="AE92">
        <v>0</v>
      </c>
      <c r="AF92" t="s">
        <v>12</v>
      </c>
      <c r="AG92">
        <v>3.2374999999999998</v>
      </c>
      <c r="AH92">
        <v>2</v>
      </c>
      <c r="AI92">
        <v>39202426</v>
      </c>
      <c r="AJ92">
        <v>93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ROW(Source!A159)</f>
        <v>159</v>
      </c>
      <c r="B93">
        <v>39202436</v>
      </c>
      <c r="C93">
        <v>39202422</v>
      </c>
      <c r="D93">
        <v>26554394</v>
      </c>
      <c r="E93">
        <v>1</v>
      </c>
      <c r="F93">
        <v>1</v>
      </c>
      <c r="G93">
        <v>1</v>
      </c>
      <c r="H93">
        <v>2</v>
      </c>
      <c r="I93" t="s">
        <v>432</v>
      </c>
      <c r="J93" t="s">
        <v>433</v>
      </c>
      <c r="K93" t="s">
        <v>434</v>
      </c>
      <c r="L93">
        <v>26553684</v>
      </c>
      <c r="N93">
        <v>1013</v>
      </c>
      <c r="O93" t="s">
        <v>387</v>
      </c>
      <c r="P93" t="s">
        <v>387</v>
      </c>
      <c r="Q93">
        <v>1</v>
      </c>
      <c r="X93">
        <v>2.2999999999999998</v>
      </c>
      <c r="Y93">
        <v>0</v>
      </c>
      <c r="Z93">
        <v>122.76</v>
      </c>
      <c r="AA93">
        <v>13.26</v>
      </c>
      <c r="AB93">
        <v>0</v>
      </c>
      <c r="AC93">
        <v>0</v>
      </c>
      <c r="AD93">
        <v>1</v>
      </c>
      <c r="AE93">
        <v>0</v>
      </c>
      <c r="AF93" t="s">
        <v>12</v>
      </c>
      <c r="AG93">
        <v>2.875</v>
      </c>
      <c r="AH93">
        <v>2</v>
      </c>
      <c r="AI93">
        <v>39202427</v>
      </c>
      <c r="AJ93">
        <v>94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ROW(Source!A159)</f>
        <v>159</v>
      </c>
      <c r="B94">
        <v>39202437</v>
      </c>
      <c r="C94">
        <v>39202422</v>
      </c>
      <c r="D94">
        <v>26554425</v>
      </c>
      <c r="E94">
        <v>1</v>
      </c>
      <c r="F94">
        <v>1</v>
      </c>
      <c r="G94">
        <v>1</v>
      </c>
      <c r="H94">
        <v>2</v>
      </c>
      <c r="I94" t="s">
        <v>435</v>
      </c>
      <c r="J94" t="s">
        <v>436</v>
      </c>
      <c r="K94" t="s">
        <v>437</v>
      </c>
      <c r="L94">
        <v>26553684</v>
      </c>
      <c r="N94">
        <v>1013</v>
      </c>
      <c r="O94" t="s">
        <v>387</v>
      </c>
      <c r="P94" t="s">
        <v>387</v>
      </c>
      <c r="Q94">
        <v>1</v>
      </c>
      <c r="X94">
        <v>12.21</v>
      </c>
      <c r="Y94">
        <v>0</v>
      </c>
      <c r="Z94">
        <v>205.75</v>
      </c>
      <c r="AA94">
        <v>14.14</v>
      </c>
      <c r="AB94">
        <v>0</v>
      </c>
      <c r="AC94">
        <v>0</v>
      </c>
      <c r="AD94">
        <v>1</v>
      </c>
      <c r="AE94">
        <v>0</v>
      </c>
      <c r="AF94" t="s">
        <v>12</v>
      </c>
      <c r="AG94">
        <v>15.262500000000001</v>
      </c>
      <c r="AH94">
        <v>2</v>
      </c>
      <c r="AI94">
        <v>39202428</v>
      </c>
      <c r="AJ94">
        <v>95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ROW(Source!A159)</f>
        <v>159</v>
      </c>
      <c r="B95">
        <v>39202438</v>
      </c>
      <c r="C95">
        <v>39202422</v>
      </c>
      <c r="D95">
        <v>26554486</v>
      </c>
      <c r="E95">
        <v>1</v>
      </c>
      <c r="F95">
        <v>1</v>
      </c>
      <c r="G95">
        <v>1</v>
      </c>
      <c r="H95">
        <v>2</v>
      </c>
      <c r="I95" t="s">
        <v>399</v>
      </c>
      <c r="J95" t="s">
        <v>400</v>
      </c>
      <c r="K95" t="s">
        <v>401</v>
      </c>
      <c r="L95">
        <v>26553684</v>
      </c>
      <c r="N95">
        <v>1013</v>
      </c>
      <c r="O95" t="s">
        <v>387</v>
      </c>
      <c r="P95" t="s">
        <v>387</v>
      </c>
      <c r="Q95">
        <v>1</v>
      </c>
      <c r="X95">
        <v>1.04</v>
      </c>
      <c r="Y95">
        <v>0</v>
      </c>
      <c r="Z95">
        <v>110</v>
      </c>
      <c r="AA95">
        <v>11.38</v>
      </c>
      <c r="AB95">
        <v>0</v>
      </c>
      <c r="AC95">
        <v>0</v>
      </c>
      <c r="AD95">
        <v>1</v>
      </c>
      <c r="AE95">
        <v>0</v>
      </c>
      <c r="AF95" t="s">
        <v>12</v>
      </c>
      <c r="AG95">
        <v>1.3</v>
      </c>
      <c r="AH95">
        <v>2</v>
      </c>
      <c r="AI95">
        <v>39202429</v>
      </c>
      <c r="AJ95">
        <v>96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ROW(Source!A159)</f>
        <v>159</v>
      </c>
      <c r="B96">
        <v>39202439</v>
      </c>
      <c r="C96">
        <v>39202422</v>
      </c>
      <c r="D96">
        <v>26607891</v>
      </c>
      <c r="E96">
        <v>1</v>
      </c>
      <c r="F96">
        <v>1</v>
      </c>
      <c r="G96">
        <v>1</v>
      </c>
      <c r="H96">
        <v>3</v>
      </c>
      <c r="I96" t="s">
        <v>570</v>
      </c>
      <c r="J96" t="s">
        <v>571</v>
      </c>
      <c r="K96" t="s">
        <v>572</v>
      </c>
      <c r="L96">
        <v>1339</v>
      </c>
      <c r="N96">
        <v>1007</v>
      </c>
      <c r="O96" t="s">
        <v>130</v>
      </c>
      <c r="P96" t="s">
        <v>130</v>
      </c>
      <c r="Q96">
        <v>1</v>
      </c>
      <c r="X96">
        <v>0</v>
      </c>
      <c r="Y96">
        <v>0</v>
      </c>
      <c r="Z96">
        <v>0</v>
      </c>
      <c r="AA96">
        <v>0</v>
      </c>
      <c r="AB96">
        <v>0</v>
      </c>
      <c r="AC96">
        <v>1</v>
      </c>
      <c r="AD96">
        <v>0</v>
      </c>
      <c r="AE96">
        <v>0</v>
      </c>
      <c r="AF96" t="s">
        <v>3</v>
      </c>
      <c r="AG96">
        <v>0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ROW(Source!A159)</f>
        <v>159</v>
      </c>
      <c r="B97">
        <v>39202440</v>
      </c>
      <c r="C97">
        <v>39202422</v>
      </c>
      <c r="D97">
        <v>26608102</v>
      </c>
      <c r="E97">
        <v>1</v>
      </c>
      <c r="F97">
        <v>1</v>
      </c>
      <c r="G97">
        <v>1</v>
      </c>
      <c r="H97">
        <v>3</v>
      </c>
      <c r="I97" t="s">
        <v>408</v>
      </c>
      <c r="J97" t="s">
        <v>409</v>
      </c>
      <c r="K97" t="s">
        <v>410</v>
      </c>
      <c r="L97">
        <v>1339</v>
      </c>
      <c r="N97">
        <v>1007</v>
      </c>
      <c r="O97" t="s">
        <v>130</v>
      </c>
      <c r="P97" t="s">
        <v>130</v>
      </c>
      <c r="Q97">
        <v>1</v>
      </c>
      <c r="X97">
        <v>7</v>
      </c>
      <c r="Y97">
        <v>2.2599999999999998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7</v>
      </c>
      <c r="AH97">
        <v>2</v>
      </c>
      <c r="AI97">
        <v>39202431</v>
      </c>
      <c r="AJ97">
        <v>98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ROW(Source!A161)</f>
        <v>161</v>
      </c>
      <c r="B98">
        <v>39202452</v>
      </c>
      <c r="C98">
        <v>39202442</v>
      </c>
      <c r="D98">
        <v>24225432</v>
      </c>
      <c r="E98">
        <v>1</v>
      </c>
      <c r="F98">
        <v>1</v>
      </c>
      <c r="G98">
        <v>1</v>
      </c>
      <c r="H98">
        <v>1</v>
      </c>
      <c r="I98" t="s">
        <v>394</v>
      </c>
      <c r="J98" t="s">
        <v>3</v>
      </c>
      <c r="K98" t="s">
        <v>395</v>
      </c>
      <c r="L98">
        <v>1476</v>
      </c>
      <c r="N98">
        <v>1013</v>
      </c>
      <c r="O98" t="s">
        <v>380</v>
      </c>
      <c r="P98" t="s">
        <v>381</v>
      </c>
      <c r="Q98">
        <v>1</v>
      </c>
      <c r="X98">
        <v>76.08</v>
      </c>
      <c r="Y98">
        <v>0</v>
      </c>
      <c r="Z98">
        <v>0</v>
      </c>
      <c r="AA98">
        <v>0</v>
      </c>
      <c r="AB98">
        <v>6.88</v>
      </c>
      <c r="AC98">
        <v>0</v>
      </c>
      <c r="AD98">
        <v>1</v>
      </c>
      <c r="AE98">
        <v>1</v>
      </c>
      <c r="AF98" t="s">
        <v>13</v>
      </c>
      <c r="AG98">
        <v>87.49199999999999</v>
      </c>
      <c r="AH98">
        <v>2</v>
      </c>
      <c r="AI98">
        <v>39202443</v>
      </c>
      <c r="AJ98">
        <v>99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ROW(Source!A161)</f>
        <v>161</v>
      </c>
      <c r="B99">
        <v>39202453</v>
      </c>
      <c r="C99">
        <v>39202442</v>
      </c>
      <c r="D99">
        <v>121548</v>
      </c>
      <c r="E99">
        <v>1</v>
      </c>
      <c r="F99">
        <v>1</v>
      </c>
      <c r="G99">
        <v>1</v>
      </c>
      <c r="H99">
        <v>1</v>
      </c>
      <c r="I99" t="s">
        <v>26</v>
      </c>
      <c r="J99" t="s">
        <v>3</v>
      </c>
      <c r="K99" t="s">
        <v>382</v>
      </c>
      <c r="L99">
        <v>608254</v>
      </c>
      <c r="N99">
        <v>1013</v>
      </c>
      <c r="O99" t="s">
        <v>383</v>
      </c>
      <c r="P99" t="s">
        <v>383</v>
      </c>
      <c r="Q99">
        <v>1</v>
      </c>
      <c r="X99">
        <v>0.68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2</v>
      </c>
      <c r="AF99" t="s">
        <v>12</v>
      </c>
      <c r="AG99">
        <v>0.85000000000000009</v>
      </c>
      <c r="AH99">
        <v>2</v>
      </c>
      <c r="AI99">
        <v>39202444</v>
      </c>
      <c r="AJ99">
        <v>100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ROW(Source!A161)</f>
        <v>161</v>
      </c>
      <c r="B100">
        <v>39202454</v>
      </c>
      <c r="C100">
        <v>39202442</v>
      </c>
      <c r="D100">
        <v>26553813</v>
      </c>
      <c r="E100">
        <v>1</v>
      </c>
      <c r="F100">
        <v>1</v>
      </c>
      <c r="G100">
        <v>1</v>
      </c>
      <c r="H100">
        <v>2</v>
      </c>
      <c r="I100" t="s">
        <v>446</v>
      </c>
      <c r="J100" t="s">
        <v>447</v>
      </c>
      <c r="K100" t="s">
        <v>448</v>
      </c>
      <c r="L100">
        <v>26553684</v>
      </c>
      <c r="N100">
        <v>1013</v>
      </c>
      <c r="O100" t="s">
        <v>387</v>
      </c>
      <c r="P100" t="s">
        <v>387</v>
      </c>
      <c r="Q100">
        <v>1</v>
      </c>
      <c r="X100">
        <v>0.68</v>
      </c>
      <c r="Y100">
        <v>0</v>
      </c>
      <c r="Z100">
        <v>111.75</v>
      </c>
      <c r="AA100">
        <v>13.26</v>
      </c>
      <c r="AB100">
        <v>0</v>
      </c>
      <c r="AC100">
        <v>0</v>
      </c>
      <c r="AD100">
        <v>1</v>
      </c>
      <c r="AE100">
        <v>0</v>
      </c>
      <c r="AF100" t="s">
        <v>12</v>
      </c>
      <c r="AG100">
        <v>0.85000000000000009</v>
      </c>
      <c r="AH100">
        <v>2</v>
      </c>
      <c r="AI100">
        <v>39202445</v>
      </c>
      <c r="AJ100">
        <v>101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ROW(Source!A161)</f>
        <v>161</v>
      </c>
      <c r="B101">
        <v>39202455</v>
      </c>
      <c r="C101">
        <v>39202442</v>
      </c>
      <c r="D101">
        <v>26555822</v>
      </c>
      <c r="E101">
        <v>1</v>
      </c>
      <c r="F101">
        <v>1</v>
      </c>
      <c r="G101">
        <v>1</v>
      </c>
      <c r="H101">
        <v>2</v>
      </c>
      <c r="I101" t="s">
        <v>461</v>
      </c>
      <c r="J101" t="s">
        <v>462</v>
      </c>
      <c r="K101" t="s">
        <v>463</v>
      </c>
      <c r="L101">
        <v>26553684</v>
      </c>
      <c r="N101">
        <v>1013</v>
      </c>
      <c r="O101" t="s">
        <v>387</v>
      </c>
      <c r="P101" t="s">
        <v>387</v>
      </c>
      <c r="Q101">
        <v>1</v>
      </c>
      <c r="X101">
        <v>0.04</v>
      </c>
      <c r="Y101">
        <v>0</v>
      </c>
      <c r="Z101">
        <v>86.55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12</v>
      </c>
      <c r="AG101">
        <v>0.05</v>
      </c>
      <c r="AH101">
        <v>2</v>
      </c>
      <c r="AI101">
        <v>39202446</v>
      </c>
      <c r="AJ101">
        <v>102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ROW(Source!A161)</f>
        <v>161</v>
      </c>
      <c r="B102">
        <v>39202456</v>
      </c>
      <c r="C102">
        <v>39202442</v>
      </c>
      <c r="D102">
        <v>26558869</v>
      </c>
      <c r="E102">
        <v>1</v>
      </c>
      <c r="F102">
        <v>1</v>
      </c>
      <c r="G102">
        <v>1</v>
      </c>
      <c r="H102">
        <v>3</v>
      </c>
      <c r="I102" t="s">
        <v>479</v>
      </c>
      <c r="J102" t="s">
        <v>480</v>
      </c>
      <c r="K102" t="s">
        <v>481</v>
      </c>
      <c r="L102">
        <v>1348</v>
      </c>
      <c r="N102">
        <v>1009</v>
      </c>
      <c r="O102" t="s">
        <v>169</v>
      </c>
      <c r="P102" t="s">
        <v>169</v>
      </c>
      <c r="Q102">
        <v>1000</v>
      </c>
      <c r="X102">
        <v>1E-3</v>
      </c>
      <c r="Y102">
        <v>10992.4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1E-3</v>
      </c>
      <c r="AH102">
        <v>2</v>
      </c>
      <c r="AI102">
        <v>39202447</v>
      </c>
      <c r="AJ102">
        <v>103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ROW(Source!A161)</f>
        <v>161</v>
      </c>
      <c r="B103">
        <v>39202457</v>
      </c>
      <c r="C103">
        <v>39202442</v>
      </c>
      <c r="D103">
        <v>26565923</v>
      </c>
      <c r="E103">
        <v>1</v>
      </c>
      <c r="F103">
        <v>1</v>
      </c>
      <c r="G103">
        <v>1</v>
      </c>
      <c r="H103">
        <v>3</v>
      </c>
      <c r="I103" t="s">
        <v>482</v>
      </c>
      <c r="J103" t="s">
        <v>483</v>
      </c>
      <c r="K103" t="s">
        <v>484</v>
      </c>
      <c r="L103">
        <v>1339</v>
      </c>
      <c r="N103">
        <v>1007</v>
      </c>
      <c r="O103" t="s">
        <v>130</v>
      </c>
      <c r="P103" t="s">
        <v>130</v>
      </c>
      <c r="Q103">
        <v>1</v>
      </c>
      <c r="X103">
        <v>0.17</v>
      </c>
      <c r="Y103">
        <v>813.06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0.17</v>
      </c>
      <c r="AH103">
        <v>2</v>
      </c>
      <c r="AI103">
        <v>39202448</v>
      </c>
      <c r="AJ103">
        <v>104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ROW(Source!A161)</f>
        <v>161</v>
      </c>
      <c r="B104">
        <v>39202458</v>
      </c>
      <c r="C104">
        <v>39202442</v>
      </c>
      <c r="D104">
        <v>26597173</v>
      </c>
      <c r="E104">
        <v>1</v>
      </c>
      <c r="F104">
        <v>1</v>
      </c>
      <c r="G104">
        <v>1</v>
      </c>
      <c r="H104">
        <v>3</v>
      </c>
      <c r="I104" t="s">
        <v>485</v>
      </c>
      <c r="J104" t="s">
        <v>486</v>
      </c>
      <c r="K104" t="s">
        <v>487</v>
      </c>
      <c r="L104">
        <v>1339</v>
      </c>
      <c r="N104">
        <v>1007</v>
      </c>
      <c r="O104" t="s">
        <v>130</v>
      </c>
      <c r="P104" t="s">
        <v>130</v>
      </c>
      <c r="Q104">
        <v>1</v>
      </c>
      <c r="X104">
        <v>5.9</v>
      </c>
      <c r="Y104">
        <v>550.19000000000005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5.9</v>
      </c>
      <c r="AH104">
        <v>2</v>
      </c>
      <c r="AI104">
        <v>39202449</v>
      </c>
      <c r="AJ104">
        <v>105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ROW(Source!A161)</f>
        <v>161</v>
      </c>
      <c r="B105">
        <v>39202459</v>
      </c>
      <c r="C105">
        <v>39202442</v>
      </c>
      <c r="D105">
        <v>26597747</v>
      </c>
      <c r="E105">
        <v>1</v>
      </c>
      <c r="F105">
        <v>1</v>
      </c>
      <c r="G105">
        <v>1</v>
      </c>
      <c r="H105">
        <v>3</v>
      </c>
      <c r="I105" t="s">
        <v>488</v>
      </c>
      <c r="J105" t="s">
        <v>489</v>
      </c>
      <c r="K105" t="s">
        <v>490</v>
      </c>
      <c r="L105">
        <v>1339</v>
      </c>
      <c r="N105">
        <v>1007</v>
      </c>
      <c r="O105" t="s">
        <v>130</v>
      </c>
      <c r="P105" t="s">
        <v>130</v>
      </c>
      <c r="Q105">
        <v>1</v>
      </c>
      <c r="X105">
        <v>0.06</v>
      </c>
      <c r="Y105">
        <v>484.14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0.06</v>
      </c>
      <c r="AH105">
        <v>2</v>
      </c>
      <c r="AI105">
        <v>39202450</v>
      </c>
      <c r="AJ105">
        <v>106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ROW(Source!A161)</f>
        <v>161</v>
      </c>
      <c r="B106">
        <v>39202460</v>
      </c>
      <c r="C106">
        <v>39202442</v>
      </c>
      <c r="D106">
        <v>26609268</v>
      </c>
      <c r="E106">
        <v>1</v>
      </c>
      <c r="F106">
        <v>1</v>
      </c>
      <c r="G106">
        <v>1</v>
      </c>
      <c r="H106">
        <v>3</v>
      </c>
      <c r="I106" t="s">
        <v>573</v>
      </c>
      <c r="J106" t="s">
        <v>574</v>
      </c>
      <c r="K106" t="s">
        <v>575</v>
      </c>
      <c r="L106">
        <v>1301</v>
      </c>
      <c r="N106">
        <v>1003</v>
      </c>
      <c r="O106" t="s">
        <v>273</v>
      </c>
      <c r="P106" t="s">
        <v>273</v>
      </c>
      <c r="Q106">
        <v>1</v>
      </c>
      <c r="X106">
        <v>100</v>
      </c>
      <c r="Y106">
        <v>0</v>
      </c>
      <c r="Z106">
        <v>0</v>
      </c>
      <c r="AA106">
        <v>0</v>
      </c>
      <c r="AB106">
        <v>0</v>
      </c>
      <c r="AC106">
        <v>1</v>
      </c>
      <c r="AD106">
        <v>0</v>
      </c>
      <c r="AE106">
        <v>0</v>
      </c>
      <c r="AF106" t="s">
        <v>3</v>
      </c>
      <c r="AG106">
        <v>100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ROW(Source!A163)</f>
        <v>163</v>
      </c>
      <c r="B107">
        <v>39202464</v>
      </c>
      <c r="C107">
        <v>39202462</v>
      </c>
      <c r="D107">
        <v>24288154</v>
      </c>
      <c r="E107">
        <v>1</v>
      </c>
      <c r="F107">
        <v>1</v>
      </c>
      <c r="G107">
        <v>1</v>
      </c>
      <c r="H107">
        <v>1</v>
      </c>
      <c r="I107" t="s">
        <v>491</v>
      </c>
      <c r="J107" t="s">
        <v>3</v>
      </c>
      <c r="K107" t="s">
        <v>492</v>
      </c>
      <c r="L107">
        <v>1476</v>
      </c>
      <c r="N107">
        <v>1013</v>
      </c>
      <c r="O107" t="s">
        <v>380</v>
      </c>
      <c r="P107" t="s">
        <v>381</v>
      </c>
      <c r="Q107">
        <v>1</v>
      </c>
      <c r="X107">
        <v>88.5</v>
      </c>
      <c r="Y107">
        <v>0</v>
      </c>
      <c r="Z107">
        <v>0</v>
      </c>
      <c r="AA107">
        <v>0</v>
      </c>
      <c r="AB107">
        <v>6.1</v>
      </c>
      <c r="AC107">
        <v>0</v>
      </c>
      <c r="AD107">
        <v>1</v>
      </c>
      <c r="AE107">
        <v>1</v>
      </c>
      <c r="AF107" t="s">
        <v>13</v>
      </c>
      <c r="AG107">
        <v>101.77499999999999</v>
      </c>
      <c r="AH107">
        <v>2</v>
      </c>
      <c r="AI107">
        <v>39202463</v>
      </c>
      <c r="AJ107">
        <v>108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ROW(Source!A201)</f>
        <v>201</v>
      </c>
      <c r="B108">
        <v>39202599</v>
      </c>
      <c r="C108">
        <v>39202597</v>
      </c>
      <c r="D108">
        <v>24233608</v>
      </c>
      <c r="E108">
        <v>1</v>
      </c>
      <c r="F108">
        <v>1</v>
      </c>
      <c r="G108">
        <v>1</v>
      </c>
      <c r="H108">
        <v>1</v>
      </c>
      <c r="I108" t="s">
        <v>419</v>
      </c>
      <c r="J108" t="s">
        <v>3</v>
      </c>
      <c r="K108" t="s">
        <v>420</v>
      </c>
      <c r="L108">
        <v>1476</v>
      </c>
      <c r="N108">
        <v>1013</v>
      </c>
      <c r="O108" t="s">
        <v>380</v>
      </c>
      <c r="P108" t="s">
        <v>381</v>
      </c>
      <c r="Q108">
        <v>1</v>
      </c>
      <c r="X108">
        <v>280</v>
      </c>
      <c r="Y108">
        <v>0</v>
      </c>
      <c r="Z108">
        <v>0</v>
      </c>
      <c r="AA108">
        <v>0</v>
      </c>
      <c r="AB108">
        <v>6.35</v>
      </c>
      <c r="AC108">
        <v>0</v>
      </c>
      <c r="AD108">
        <v>1</v>
      </c>
      <c r="AE108">
        <v>1</v>
      </c>
      <c r="AF108" t="s">
        <v>13</v>
      </c>
      <c r="AG108">
        <v>322</v>
      </c>
      <c r="AH108">
        <v>2</v>
      </c>
      <c r="AI108">
        <v>39202598</v>
      </c>
      <c r="AJ108">
        <v>109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ROW(Source!A203)</f>
        <v>203</v>
      </c>
      <c r="B109">
        <v>39202610</v>
      </c>
      <c r="C109">
        <v>39202601</v>
      </c>
      <c r="D109">
        <v>24233608</v>
      </c>
      <c r="E109">
        <v>1</v>
      </c>
      <c r="F109">
        <v>1</v>
      </c>
      <c r="G109">
        <v>1</v>
      </c>
      <c r="H109">
        <v>1</v>
      </c>
      <c r="I109" t="s">
        <v>419</v>
      </c>
      <c r="J109" t="s">
        <v>3</v>
      </c>
      <c r="K109" t="s">
        <v>420</v>
      </c>
      <c r="L109">
        <v>1476</v>
      </c>
      <c r="N109">
        <v>1013</v>
      </c>
      <c r="O109" t="s">
        <v>380</v>
      </c>
      <c r="P109" t="s">
        <v>381</v>
      </c>
      <c r="Q109">
        <v>1</v>
      </c>
      <c r="X109">
        <v>180</v>
      </c>
      <c r="Y109">
        <v>0</v>
      </c>
      <c r="Z109">
        <v>0</v>
      </c>
      <c r="AA109">
        <v>0</v>
      </c>
      <c r="AB109">
        <v>6.35</v>
      </c>
      <c r="AC109">
        <v>0</v>
      </c>
      <c r="AD109">
        <v>1</v>
      </c>
      <c r="AE109">
        <v>1</v>
      </c>
      <c r="AF109" t="s">
        <v>13</v>
      </c>
      <c r="AG109">
        <v>206.99999999999997</v>
      </c>
      <c r="AH109">
        <v>2</v>
      </c>
      <c r="AI109">
        <v>39202602</v>
      </c>
      <c r="AJ109">
        <v>110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ROW(Source!A203)</f>
        <v>203</v>
      </c>
      <c r="B110">
        <v>39202611</v>
      </c>
      <c r="C110">
        <v>39202601</v>
      </c>
      <c r="D110">
        <v>121548</v>
      </c>
      <c r="E110">
        <v>1</v>
      </c>
      <c r="F110">
        <v>1</v>
      </c>
      <c r="G110">
        <v>1</v>
      </c>
      <c r="H110">
        <v>1</v>
      </c>
      <c r="I110" t="s">
        <v>26</v>
      </c>
      <c r="J110" t="s">
        <v>3</v>
      </c>
      <c r="K110" t="s">
        <v>382</v>
      </c>
      <c r="L110">
        <v>608254</v>
      </c>
      <c r="N110">
        <v>1013</v>
      </c>
      <c r="O110" t="s">
        <v>383</v>
      </c>
      <c r="P110" t="s">
        <v>383</v>
      </c>
      <c r="Q110">
        <v>1</v>
      </c>
      <c r="X110">
        <v>18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2</v>
      </c>
      <c r="AF110" t="s">
        <v>12</v>
      </c>
      <c r="AG110">
        <v>22.5</v>
      </c>
      <c r="AH110">
        <v>2</v>
      </c>
      <c r="AI110">
        <v>39202603</v>
      </c>
      <c r="AJ110">
        <v>111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ROW(Source!A203)</f>
        <v>203</v>
      </c>
      <c r="B111">
        <v>39202612</v>
      </c>
      <c r="C111">
        <v>39202601</v>
      </c>
      <c r="D111">
        <v>26553729</v>
      </c>
      <c r="E111">
        <v>1</v>
      </c>
      <c r="F111">
        <v>1</v>
      </c>
      <c r="G111">
        <v>1</v>
      </c>
      <c r="H111">
        <v>2</v>
      </c>
      <c r="I111" t="s">
        <v>493</v>
      </c>
      <c r="J111" t="s">
        <v>494</v>
      </c>
      <c r="K111" t="s">
        <v>495</v>
      </c>
      <c r="L111">
        <v>26553684</v>
      </c>
      <c r="N111">
        <v>1013</v>
      </c>
      <c r="O111" t="s">
        <v>387</v>
      </c>
      <c r="P111" t="s">
        <v>387</v>
      </c>
      <c r="Q111">
        <v>1</v>
      </c>
      <c r="X111">
        <v>18</v>
      </c>
      <c r="Y111">
        <v>0</v>
      </c>
      <c r="Z111">
        <v>86.16</v>
      </c>
      <c r="AA111">
        <v>13.26</v>
      </c>
      <c r="AB111">
        <v>0</v>
      </c>
      <c r="AC111">
        <v>0</v>
      </c>
      <c r="AD111">
        <v>1</v>
      </c>
      <c r="AE111">
        <v>0</v>
      </c>
      <c r="AF111" t="s">
        <v>12</v>
      </c>
      <c r="AG111">
        <v>22.5</v>
      </c>
      <c r="AH111">
        <v>2</v>
      </c>
      <c r="AI111">
        <v>39202604</v>
      </c>
      <c r="AJ111">
        <v>112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ROW(Source!A203)</f>
        <v>203</v>
      </c>
      <c r="B112">
        <v>39202613</v>
      </c>
      <c r="C112">
        <v>39202601</v>
      </c>
      <c r="D112">
        <v>26554373</v>
      </c>
      <c r="E112">
        <v>1</v>
      </c>
      <c r="F112">
        <v>1</v>
      </c>
      <c r="G112">
        <v>1</v>
      </c>
      <c r="H112">
        <v>2</v>
      </c>
      <c r="I112" t="s">
        <v>496</v>
      </c>
      <c r="J112" t="s">
        <v>497</v>
      </c>
      <c r="K112" t="s">
        <v>498</v>
      </c>
      <c r="L112">
        <v>26553684</v>
      </c>
      <c r="N112">
        <v>1013</v>
      </c>
      <c r="O112" t="s">
        <v>387</v>
      </c>
      <c r="P112" t="s">
        <v>387</v>
      </c>
      <c r="Q112">
        <v>1</v>
      </c>
      <c r="X112">
        <v>48</v>
      </c>
      <c r="Y112">
        <v>0</v>
      </c>
      <c r="Z112">
        <v>0.5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12</v>
      </c>
      <c r="AG112">
        <v>60</v>
      </c>
      <c r="AH112">
        <v>2</v>
      </c>
      <c r="AI112">
        <v>39202605</v>
      </c>
      <c r="AJ112">
        <v>113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ROW(Source!A203)</f>
        <v>203</v>
      </c>
      <c r="B113">
        <v>39202614</v>
      </c>
      <c r="C113">
        <v>39202601</v>
      </c>
      <c r="D113">
        <v>26555822</v>
      </c>
      <c r="E113">
        <v>1</v>
      </c>
      <c r="F113">
        <v>1</v>
      </c>
      <c r="G113">
        <v>1</v>
      </c>
      <c r="H113">
        <v>2</v>
      </c>
      <c r="I113" t="s">
        <v>461</v>
      </c>
      <c r="J113" t="s">
        <v>462</v>
      </c>
      <c r="K113" t="s">
        <v>463</v>
      </c>
      <c r="L113">
        <v>26553684</v>
      </c>
      <c r="N113">
        <v>1013</v>
      </c>
      <c r="O113" t="s">
        <v>387</v>
      </c>
      <c r="P113" t="s">
        <v>387</v>
      </c>
      <c r="Q113">
        <v>1</v>
      </c>
      <c r="X113">
        <v>0.13</v>
      </c>
      <c r="Y113">
        <v>0</v>
      </c>
      <c r="Z113">
        <v>86.55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12</v>
      </c>
      <c r="AG113">
        <v>0.16250000000000001</v>
      </c>
      <c r="AH113">
        <v>2</v>
      </c>
      <c r="AI113">
        <v>39202606</v>
      </c>
      <c r="AJ113">
        <v>114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ROW(Source!A203)</f>
        <v>203</v>
      </c>
      <c r="B114">
        <v>39202615</v>
      </c>
      <c r="C114">
        <v>39202601</v>
      </c>
      <c r="D114">
        <v>26558648</v>
      </c>
      <c r="E114">
        <v>1</v>
      </c>
      <c r="F114">
        <v>1</v>
      </c>
      <c r="G114">
        <v>1</v>
      </c>
      <c r="H114">
        <v>3</v>
      </c>
      <c r="I114" t="s">
        <v>499</v>
      </c>
      <c r="J114" t="s">
        <v>500</v>
      </c>
      <c r="K114" t="s">
        <v>501</v>
      </c>
      <c r="L114">
        <v>1327</v>
      </c>
      <c r="N114">
        <v>1005</v>
      </c>
      <c r="O114" t="s">
        <v>502</v>
      </c>
      <c r="P114" t="s">
        <v>502</v>
      </c>
      <c r="Q114">
        <v>1</v>
      </c>
      <c r="X114">
        <v>250</v>
      </c>
      <c r="Y114">
        <v>9.1999999999999993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250</v>
      </c>
      <c r="AH114">
        <v>2</v>
      </c>
      <c r="AI114">
        <v>39202607</v>
      </c>
      <c r="AJ114">
        <v>115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ROW(Source!A203)</f>
        <v>203</v>
      </c>
      <c r="B115">
        <v>39202616</v>
      </c>
      <c r="C115">
        <v>39202601</v>
      </c>
      <c r="D115">
        <v>26597230</v>
      </c>
      <c r="E115">
        <v>1</v>
      </c>
      <c r="F115">
        <v>1</v>
      </c>
      <c r="G115">
        <v>1</v>
      </c>
      <c r="H115">
        <v>3</v>
      </c>
      <c r="I115" t="s">
        <v>503</v>
      </c>
      <c r="J115" t="s">
        <v>504</v>
      </c>
      <c r="K115" t="s">
        <v>505</v>
      </c>
      <c r="L115">
        <v>1339</v>
      </c>
      <c r="N115">
        <v>1007</v>
      </c>
      <c r="O115" t="s">
        <v>130</v>
      </c>
      <c r="P115" t="s">
        <v>130</v>
      </c>
      <c r="Q115">
        <v>1</v>
      </c>
      <c r="X115">
        <v>102</v>
      </c>
      <c r="Y115">
        <v>481.52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102</v>
      </c>
      <c r="AH115">
        <v>2</v>
      </c>
      <c r="AI115">
        <v>39202608</v>
      </c>
      <c r="AJ115">
        <v>116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ROW(Source!A203)</f>
        <v>203</v>
      </c>
      <c r="B116">
        <v>39202617</v>
      </c>
      <c r="C116">
        <v>39202601</v>
      </c>
      <c r="D116">
        <v>26608102</v>
      </c>
      <c r="E116">
        <v>1</v>
      </c>
      <c r="F116">
        <v>1</v>
      </c>
      <c r="G116">
        <v>1</v>
      </c>
      <c r="H116">
        <v>3</v>
      </c>
      <c r="I116" t="s">
        <v>408</v>
      </c>
      <c r="J116" t="s">
        <v>409</v>
      </c>
      <c r="K116" t="s">
        <v>410</v>
      </c>
      <c r="L116">
        <v>1339</v>
      </c>
      <c r="N116">
        <v>1007</v>
      </c>
      <c r="O116" t="s">
        <v>130</v>
      </c>
      <c r="P116" t="s">
        <v>130</v>
      </c>
      <c r="Q116">
        <v>1</v>
      </c>
      <c r="X116">
        <v>0.2</v>
      </c>
      <c r="Y116">
        <v>2.2599999999999998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0.2</v>
      </c>
      <c r="AH116">
        <v>2</v>
      </c>
      <c r="AI116">
        <v>39202609</v>
      </c>
      <c r="AJ116">
        <v>117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ROW(Source!A204)</f>
        <v>204</v>
      </c>
      <c r="B117">
        <v>39202620</v>
      </c>
      <c r="C117">
        <v>39202618</v>
      </c>
      <c r="D117">
        <v>24288154</v>
      </c>
      <c r="E117">
        <v>1</v>
      </c>
      <c r="F117">
        <v>1</v>
      </c>
      <c r="G117">
        <v>1</v>
      </c>
      <c r="H117">
        <v>1</v>
      </c>
      <c r="I117" t="s">
        <v>491</v>
      </c>
      <c r="J117" t="s">
        <v>3</v>
      </c>
      <c r="K117" t="s">
        <v>492</v>
      </c>
      <c r="L117">
        <v>1476</v>
      </c>
      <c r="N117">
        <v>1013</v>
      </c>
      <c r="O117" t="s">
        <v>380</v>
      </c>
      <c r="P117" t="s">
        <v>381</v>
      </c>
      <c r="Q117">
        <v>1</v>
      </c>
      <c r="X117">
        <v>88.5</v>
      </c>
      <c r="Y117">
        <v>0</v>
      </c>
      <c r="Z117">
        <v>0</v>
      </c>
      <c r="AA117">
        <v>0</v>
      </c>
      <c r="AB117">
        <v>6.1</v>
      </c>
      <c r="AC117">
        <v>0</v>
      </c>
      <c r="AD117">
        <v>1</v>
      </c>
      <c r="AE117">
        <v>1</v>
      </c>
      <c r="AF117" t="s">
        <v>13</v>
      </c>
      <c r="AG117">
        <v>101.77499999999999</v>
      </c>
      <c r="AH117">
        <v>2</v>
      </c>
      <c r="AI117">
        <v>39202619</v>
      </c>
      <c r="AJ117">
        <v>118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ROW(Source!A240)</f>
        <v>240</v>
      </c>
      <c r="B118">
        <v>39202623</v>
      </c>
      <c r="C118">
        <v>39202621</v>
      </c>
      <c r="D118">
        <v>24233608</v>
      </c>
      <c r="E118">
        <v>1</v>
      </c>
      <c r="F118">
        <v>1</v>
      </c>
      <c r="G118">
        <v>1</v>
      </c>
      <c r="H118">
        <v>1</v>
      </c>
      <c r="I118" t="s">
        <v>419</v>
      </c>
      <c r="J118" t="s">
        <v>3</v>
      </c>
      <c r="K118" t="s">
        <v>420</v>
      </c>
      <c r="L118">
        <v>1476</v>
      </c>
      <c r="N118">
        <v>1013</v>
      </c>
      <c r="O118" t="s">
        <v>380</v>
      </c>
      <c r="P118" t="s">
        <v>381</v>
      </c>
      <c r="Q118">
        <v>1</v>
      </c>
      <c r="X118">
        <v>280</v>
      </c>
      <c r="Y118">
        <v>0</v>
      </c>
      <c r="Z118">
        <v>0</v>
      </c>
      <c r="AA118">
        <v>0</v>
      </c>
      <c r="AB118">
        <v>6.35</v>
      </c>
      <c r="AC118">
        <v>0</v>
      </c>
      <c r="AD118">
        <v>1</v>
      </c>
      <c r="AE118">
        <v>1</v>
      </c>
      <c r="AF118" t="s">
        <v>13</v>
      </c>
      <c r="AG118">
        <v>322</v>
      </c>
      <c r="AH118">
        <v>2</v>
      </c>
      <c r="AI118">
        <v>39202622</v>
      </c>
      <c r="AJ118">
        <v>119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ROW(Source!A242)</f>
        <v>242</v>
      </c>
      <c r="B119">
        <v>39202634</v>
      </c>
      <c r="C119">
        <v>39202625</v>
      </c>
      <c r="D119">
        <v>24233608</v>
      </c>
      <c r="E119">
        <v>1</v>
      </c>
      <c r="F119">
        <v>1</v>
      </c>
      <c r="G119">
        <v>1</v>
      </c>
      <c r="H119">
        <v>1</v>
      </c>
      <c r="I119" t="s">
        <v>419</v>
      </c>
      <c r="J119" t="s">
        <v>3</v>
      </c>
      <c r="K119" t="s">
        <v>420</v>
      </c>
      <c r="L119">
        <v>1476</v>
      </c>
      <c r="N119">
        <v>1013</v>
      </c>
      <c r="O119" t="s">
        <v>380</v>
      </c>
      <c r="P119" t="s">
        <v>381</v>
      </c>
      <c r="Q119">
        <v>1</v>
      </c>
      <c r="X119">
        <v>180</v>
      </c>
      <c r="Y119">
        <v>0</v>
      </c>
      <c r="Z119">
        <v>0</v>
      </c>
      <c r="AA119">
        <v>0</v>
      </c>
      <c r="AB119">
        <v>6.35</v>
      </c>
      <c r="AC119">
        <v>0</v>
      </c>
      <c r="AD119">
        <v>1</v>
      </c>
      <c r="AE119">
        <v>1</v>
      </c>
      <c r="AF119" t="s">
        <v>13</v>
      </c>
      <c r="AG119">
        <v>206.99999999999997</v>
      </c>
      <c r="AH119">
        <v>2</v>
      </c>
      <c r="AI119">
        <v>39202626</v>
      </c>
      <c r="AJ119">
        <v>120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ROW(Source!A242)</f>
        <v>242</v>
      </c>
      <c r="B120">
        <v>39202635</v>
      </c>
      <c r="C120">
        <v>39202625</v>
      </c>
      <c r="D120">
        <v>121548</v>
      </c>
      <c r="E120">
        <v>1</v>
      </c>
      <c r="F120">
        <v>1</v>
      </c>
      <c r="G120">
        <v>1</v>
      </c>
      <c r="H120">
        <v>1</v>
      </c>
      <c r="I120" t="s">
        <v>26</v>
      </c>
      <c r="J120" t="s">
        <v>3</v>
      </c>
      <c r="K120" t="s">
        <v>382</v>
      </c>
      <c r="L120">
        <v>608254</v>
      </c>
      <c r="N120">
        <v>1013</v>
      </c>
      <c r="O120" t="s">
        <v>383</v>
      </c>
      <c r="P120" t="s">
        <v>383</v>
      </c>
      <c r="Q120">
        <v>1</v>
      </c>
      <c r="X120">
        <v>18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2</v>
      </c>
      <c r="AF120" t="s">
        <v>12</v>
      </c>
      <c r="AG120">
        <v>22.5</v>
      </c>
      <c r="AH120">
        <v>2</v>
      </c>
      <c r="AI120">
        <v>39202627</v>
      </c>
      <c r="AJ120">
        <v>121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ROW(Source!A242)</f>
        <v>242</v>
      </c>
      <c r="B121">
        <v>39202636</v>
      </c>
      <c r="C121">
        <v>39202625</v>
      </c>
      <c r="D121">
        <v>26553729</v>
      </c>
      <c r="E121">
        <v>1</v>
      </c>
      <c r="F121">
        <v>1</v>
      </c>
      <c r="G121">
        <v>1</v>
      </c>
      <c r="H121">
        <v>2</v>
      </c>
      <c r="I121" t="s">
        <v>493</v>
      </c>
      <c r="J121" t="s">
        <v>494</v>
      </c>
      <c r="K121" t="s">
        <v>495</v>
      </c>
      <c r="L121">
        <v>26553684</v>
      </c>
      <c r="N121">
        <v>1013</v>
      </c>
      <c r="O121" t="s">
        <v>387</v>
      </c>
      <c r="P121" t="s">
        <v>387</v>
      </c>
      <c r="Q121">
        <v>1</v>
      </c>
      <c r="X121">
        <v>18</v>
      </c>
      <c r="Y121">
        <v>0</v>
      </c>
      <c r="Z121">
        <v>86.16</v>
      </c>
      <c r="AA121">
        <v>13.26</v>
      </c>
      <c r="AB121">
        <v>0</v>
      </c>
      <c r="AC121">
        <v>0</v>
      </c>
      <c r="AD121">
        <v>1</v>
      </c>
      <c r="AE121">
        <v>0</v>
      </c>
      <c r="AF121" t="s">
        <v>12</v>
      </c>
      <c r="AG121">
        <v>22.5</v>
      </c>
      <c r="AH121">
        <v>2</v>
      </c>
      <c r="AI121">
        <v>39202628</v>
      </c>
      <c r="AJ121">
        <v>122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ROW(Source!A242)</f>
        <v>242</v>
      </c>
      <c r="B122">
        <v>39202637</v>
      </c>
      <c r="C122">
        <v>39202625</v>
      </c>
      <c r="D122">
        <v>26554373</v>
      </c>
      <c r="E122">
        <v>1</v>
      </c>
      <c r="F122">
        <v>1</v>
      </c>
      <c r="G122">
        <v>1</v>
      </c>
      <c r="H122">
        <v>2</v>
      </c>
      <c r="I122" t="s">
        <v>496</v>
      </c>
      <c r="J122" t="s">
        <v>497</v>
      </c>
      <c r="K122" t="s">
        <v>498</v>
      </c>
      <c r="L122">
        <v>26553684</v>
      </c>
      <c r="N122">
        <v>1013</v>
      </c>
      <c r="O122" t="s">
        <v>387</v>
      </c>
      <c r="P122" t="s">
        <v>387</v>
      </c>
      <c r="Q122">
        <v>1</v>
      </c>
      <c r="X122">
        <v>48</v>
      </c>
      <c r="Y122">
        <v>0</v>
      </c>
      <c r="Z122">
        <v>0.5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12</v>
      </c>
      <c r="AG122">
        <v>60</v>
      </c>
      <c r="AH122">
        <v>2</v>
      </c>
      <c r="AI122">
        <v>39202629</v>
      </c>
      <c r="AJ122">
        <v>123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ROW(Source!A242)</f>
        <v>242</v>
      </c>
      <c r="B123">
        <v>39202638</v>
      </c>
      <c r="C123">
        <v>39202625</v>
      </c>
      <c r="D123">
        <v>26555822</v>
      </c>
      <c r="E123">
        <v>1</v>
      </c>
      <c r="F123">
        <v>1</v>
      </c>
      <c r="G123">
        <v>1</v>
      </c>
      <c r="H123">
        <v>2</v>
      </c>
      <c r="I123" t="s">
        <v>461</v>
      </c>
      <c r="J123" t="s">
        <v>462</v>
      </c>
      <c r="K123" t="s">
        <v>463</v>
      </c>
      <c r="L123">
        <v>26553684</v>
      </c>
      <c r="N123">
        <v>1013</v>
      </c>
      <c r="O123" t="s">
        <v>387</v>
      </c>
      <c r="P123" t="s">
        <v>387</v>
      </c>
      <c r="Q123">
        <v>1</v>
      </c>
      <c r="X123">
        <v>0.13</v>
      </c>
      <c r="Y123">
        <v>0</v>
      </c>
      <c r="Z123">
        <v>86.55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12</v>
      </c>
      <c r="AG123">
        <v>0.16250000000000001</v>
      </c>
      <c r="AH123">
        <v>2</v>
      </c>
      <c r="AI123">
        <v>39202630</v>
      </c>
      <c r="AJ123">
        <v>124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ROW(Source!A242)</f>
        <v>242</v>
      </c>
      <c r="B124">
        <v>39202639</v>
      </c>
      <c r="C124">
        <v>39202625</v>
      </c>
      <c r="D124">
        <v>26558648</v>
      </c>
      <c r="E124">
        <v>1</v>
      </c>
      <c r="F124">
        <v>1</v>
      </c>
      <c r="G124">
        <v>1</v>
      </c>
      <c r="H124">
        <v>3</v>
      </c>
      <c r="I124" t="s">
        <v>499</v>
      </c>
      <c r="J124" t="s">
        <v>500</v>
      </c>
      <c r="K124" t="s">
        <v>501</v>
      </c>
      <c r="L124">
        <v>1327</v>
      </c>
      <c r="N124">
        <v>1005</v>
      </c>
      <c r="O124" t="s">
        <v>502</v>
      </c>
      <c r="P124" t="s">
        <v>502</v>
      </c>
      <c r="Q124">
        <v>1</v>
      </c>
      <c r="X124">
        <v>250</v>
      </c>
      <c r="Y124">
        <v>9.1999999999999993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250</v>
      </c>
      <c r="AH124">
        <v>2</v>
      </c>
      <c r="AI124">
        <v>39202631</v>
      </c>
      <c r="AJ124">
        <v>125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ROW(Source!A242)</f>
        <v>242</v>
      </c>
      <c r="B125">
        <v>39202640</v>
      </c>
      <c r="C125">
        <v>39202625</v>
      </c>
      <c r="D125">
        <v>26597230</v>
      </c>
      <c r="E125">
        <v>1</v>
      </c>
      <c r="F125">
        <v>1</v>
      </c>
      <c r="G125">
        <v>1</v>
      </c>
      <c r="H125">
        <v>3</v>
      </c>
      <c r="I125" t="s">
        <v>503</v>
      </c>
      <c r="J125" t="s">
        <v>504</v>
      </c>
      <c r="K125" t="s">
        <v>505</v>
      </c>
      <c r="L125">
        <v>1339</v>
      </c>
      <c r="N125">
        <v>1007</v>
      </c>
      <c r="O125" t="s">
        <v>130</v>
      </c>
      <c r="P125" t="s">
        <v>130</v>
      </c>
      <c r="Q125">
        <v>1</v>
      </c>
      <c r="X125">
        <v>102</v>
      </c>
      <c r="Y125">
        <v>481.52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102</v>
      </c>
      <c r="AH125">
        <v>2</v>
      </c>
      <c r="AI125">
        <v>39202632</v>
      </c>
      <c r="AJ125">
        <v>126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ROW(Source!A242)</f>
        <v>242</v>
      </c>
      <c r="B126">
        <v>39202641</v>
      </c>
      <c r="C126">
        <v>39202625</v>
      </c>
      <c r="D126">
        <v>26608102</v>
      </c>
      <c r="E126">
        <v>1</v>
      </c>
      <c r="F126">
        <v>1</v>
      </c>
      <c r="G126">
        <v>1</v>
      </c>
      <c r="H126">
        <v>3</v>
      </c>
      <c r="I126" t="s">
        <v>408</v>
      </c>
      <c r="J126" t="s">
        <v>409</v>
      </c>
      <c r="K126" t="s">
        <v>410</v>
      </c>
      <c r="L126">
        <v>1339</v>
      </c>
      <c r="N126">
        <v>1007</v>
      </c>
      <c r="O126" t="s">
        <v>130</v>
      </c>
      <c r="P126" t="s">
        <v>130</v>
      </c>
      <c r="Q126">
        <v>1</v>
      </c>
      <c r="X126">
        <v>0.2</v>
      </c>
      <c r="Y126">
        <v>2.2599999999999998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0.2</v>
      </c>
      <c r="AH126">
        <v>2</v>
      </c>
      <c r="AI126">
        <v>39202633</v>
      </c>
      <c r="AJ126">
        <v>127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ROW(Source!A243)</f>
        <v>243</v>
      </c>
      <c r="B127">
        <v>39202644</v>
      </c>
      <c r="C127">
        <v>39202642</v>
      </c>
      <c r="D127">
        <v>24288154</v>
      </c>
      <c r="E127">
        <v>1</v>
      </c>
      <c r="F127">
        <v>1</v>
      </c>
      <c r="G127">
        <v>1</v>
      </c>
      <c r="H127">
        <v>1</v>
      </c>
      <c r="I127" t="s">
        <v>491</v>
      </c>
      <c r="J127" t="s">
        <v>3</v>
      </c>
      <c r="K127" t="s">
        <v>492</v>
      </c>
      <c r="L127">
        <v>1476</v>
      </c>
      <c r="N127">
        <v>1013</v>
      </c>
      <c r="O127" t="s">
        <v>380</v>
      </c>
      <c r="P127" t="s">
        <v>381</v>
      </c>
      <c r="Q127">
        <v>1</v>
      </c>
      <c r="X127">
        <v>88.5</v>
      </c>
      <c r="Y127">
        <v>0</v>
      </c>
      <c r="Z127">
        <v>0</v>
      </c>
      <c r="AA127">
        <v>0</v>
      </c>
      <c r="AB127">
        <v>6.1</v>
      </c>
      <c r="AC127">
        <v>0</v>
      </c>
      <c r="AD127">
        <v>1</v>
      </c>
      <c r="AE127">
        <v>1</v>
      </c>
      <c r="AF127" t="s">
        <v>139</v>
      </c>
      <c r="AG127">
        <v>101.77499999999999</v>
      </c>
      <c r="AH127">
        <v>2</v>
      </c>
      <c r="AI127">
        <v>39202643</v>
      </c>
      <c r="AJ127">
        <v>128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ROW(Source!A279)</f>
        <v>279</v>
      </c>
      <c r="B128">
        <v>42358436</v>
      </c>
      <c r="C128">
        <v>42358427</v>
      </c>
      <c r="D128">
        <v>24225554</v>
      </c>
      <c r="E128">
        <v>1</v>
      </c>
      <c r="F128">
        <v>1</v>
      </c>
      <c r="G128">
        <v>1</v>
      </c>
      <c r="H128">
        <v>1</v>
      </c>
      <c r="I128" t="s">
        <v>506</v>
      </c>
      <c r="J128" t="s">
        <v>3</v>
      </c>
      <c r="K128" t="s">
        <v>507</v>
      </c>
      <c r="L128">
        <v>1476</v>
      </c>
      <c r="N128">
        <v>1013</v>
      </c>
      <c r="O128" t="s">
        <v>380</v>
      </c>
      <c r="P128" t="s">
        <v>381</v>
      </c>
      <c r="Q128">
        <v>1</v>
      </c>
      <c r="X128">
        <v>7.11</v>
      </c>
      <c r="Y128">
        <v>0</v>
      </c>
      <c r="Z128">
        <v>0</v>
      </c>
      <c r="AA128">
        <v>0</v>
      </c>
      <c r="AB128">
        <v>6.94</v>
      </c>
      <c r="AC128">
        <v>0</v>
      </c>
      <c r="AD128">
        <v>1</v>
      </c>
      <c r="AE128">
        <v>1</v>
      </c>
      <c r="AF128" t="s">
        <v>242</v>
      </c>
      <c r="AG128">
        <v>4.9770000000000003</v>
      </c>
      <c r="AH128">
        <v>2</v>
      </c>
      <c r="AI128">
        <v>42358428</v>
      </c>
      <c r="AJ128">
        <v>129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ROW(Source!A279)</f>
        <v>279</v>
      </c>
      <c r="B129">
        <v>42358437</v>
      </c>
      <c r="C129">
        <v>42358427</v>
      </c>
      <c r="D129">
        <v>121548</v>
      </c>
      <c r="E129">
        <v>1</v>
      </c>
      <c r="F129">
        <v>1</v>
      </c>
      <c r="G129">
        <v>1</v>
      </c>
      <c r="H129">
        <v>1</v>
      </c>
      <c r="I129" t="s">
        <v>26</v>
      </c>
      <c r="J129" t="s">
        <v>3</v>
      </c>
      <c r="K129" t="s">
        <v>382</v>
      </c>
      <c r="L129">
        <v>608254</v>
      </c>
      <c r="N129">
        <v>1013</v>
      </c>
      <c r="O129" t="s">
        <v>383</v>
      </c>
      <c r="P129" t="s">
        <v>383</v>
      </c>
      <c r="Q129">
        <v>1</v>
      </c>
      <c r="X129">
        <v>0.56999999999999995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2</v>
      </c>
      <c r="AF129" t="s">
        <v>242</v>
      </c>
      <c r="AG129">
        <v>0.39899999999999997</v>
      </c>
      <c r="AH129">
        <v>2</v>
      </c>
      <c r="AI129">
        <v>42358429</v>
      </c>
      <c r="AJ129">
        <v>130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ROW(Source!A279)</f>
        <v>279</v>
      </c>
      <c r="B130">
        <v>42358438</v>
      </c>
      <c r="C130">
        <v>42358427</v>
      </c>
      <c r="D130">
        <v>26554003</v>
      </c>
      <c r="E130">
        <v>1</v>
      </c>
      <c r="F130">
        <v>1</v>
      </c>
      <c r="G130">
        <v>1</v>
      </c>
      <c r="H130">
        <v>2</v>
      </c>
      <c r="I130" t="s">
        <v>508</v>
      </c>
      <c r="J130" t="s">
        <v>509</v>
      </c>
      <c r="K130" t="s">
        <v>510</v>
      </c>
      <c r="L130">
        <v>26553684</v>
      </c>
      <c r="N130">
        <v>1013</v>
      </c>
      <c r="O130" t="s">
        <v>387</v>
      </c>
      <c r="P130" t="s">
        <v>387</v>
      </c>
      <c r="Q130">
        <v>1</v>
      </c>
      <c r="X130">
        <v>0.56999999999999995</v>
      </c>
      <c r="Y130">
        <v>0</v>
      </c>
      <c r="Z130">
        <v>22.07</v>
      </c>
      <c r="AA130">
        <v>11.38</v>
      </c>
      <c r="AB130">
        <v>0</v>
      </c>
      <c r="AC130">
        <v>0</v>
      </c>
      <c r="AD130">
        <v>1</v>
      </c>
      <c r="AE130">
        <v>0</v>
      </c>
      <c r="AF130" t="s">
        <v>242</v>
      </c>
      <c r="AG130">
        <v>0.39899999999999997</v>
      </c>
      <c r="AH130">
        <v>2</v>
      </c>
      <c r="AI130">
        <v>42358430</v>
      </c>
      <c r="AJ130">
        <v>131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ROW(Source!A279)</f>
        <v>279</v>
      </c>
      <c r="B131">
        <v>42358439</v>
      </c>
      <c r="C131">
        <v>42358427</v>
      </c>
      <c r="D131">
        <v>26555589</v>
      </c>
      <c r="E131">
        <v>1</v>
      </c>
      <c r="F131">
        <v>1</v>
      </c>
      <c r="G131">
        <v>1</v>
      </c>
      <c r="H131">
        <v>2</v>
      </c>
      <c r="I131" t="s">
        <v>511</v>
      </c>
      <c r="J131" t="s">
        <v>512</v>
      </c>
      <c r="K131" t="s">
        <v>513</v>
      </c>
      <c r="L131">
        <v>26553684</v>
      </c>
      <c r="N131">
        <v>1013</v>
      </c>
      <c r="O131" t="s">
        <v>387</v>
      </c>
      <c r="P131" t="s">
        <v>387</v>
      </c>
      <c r="Q131">
        <v>1</v>
      </c>
      <c r="X131">
        <v>0.56999999999999995</v>
      </c>
      <c r="Y131">
        <v>0</v>
      </c>
      <c r="Z131">
        <v>1.05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242</v>
      </c>
      <c r="AG131">
        <v>0.39899999999999997</v>
      </c>
      <c r="AH131">
        <v>2</v>
      </c>
      <c r="AI131">
        <v>42358431</v>
      </c>
      <c r="AJ131">
        <v>132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ROW(Source!A279)</f>
        <v>279</v>
      </c>
      <c r="B132">
        <v>42358440</v>
      </c>
      <c r="C132">
        <v>42358427</v>
      </c>
      <c r="D132">
        <v>26555822</v>
      </c>
      <c r="E132">
        <v>1</v>
      </c>
      <c r="F132">
        <v>1</v>
      </c>
      <c r="G132">
        <v>1</v>
      </c>
      <c r="H132">
        <v>2</v>
      </c>
      <c r="I132" t="s">
        <v>461</v>
      </c>
      <c r="J132" t="s">
        <v>462</v>
      </c>
      <c r="K132" t="s">
        <v>463</v>
      </c>
      <c r="L132">
        <v>26553684</v>
      </c>
      <c r="N132">
        <v>1013</v>
      </c>
      <c r="O132" t="s">
        <v>387</v>
      </c>
      <c r="P132" t="s">
        <v>387</v>
      </c>
      <c r="Q132">
        <v>1</v>
      </c>
      <c r="X132">
        <v>0.11</v>
      </c>
      <c r="Y132">
        <v>0</v>
      </c>
      <c r="Z132">
        <v>86.55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242</v>
      </c>
      <c r="AG132">
        <v>7.6999999999999999E-2</v>
      </c>
      <c r="AH132">
        <v>2</v>
      </c>
      <c r="AI132">
        <v>42358432</v>
      </c>
      <c r="AJ132">
        <v>133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ROW(Source!A279)</f>
        <v>279</v>
      </c>
      <c r="B133">
        <v>42358441</v>
      </c>
      <c r="C133">
        <v>42358427</v>
      </c>
      <c r="D133">
        <v>26565754</v>
      </c>
      <c r="E133">
        <v>1</v>
      </c>
      <c r="F133">
        <v>1</v>
      </c>
      <c r="G133">
        <v>1</v>
      </c>
      <c r="H133">
        <v>3</v>
      </c>
      <c r="I133" t="s">
        <v>576</v>
      </c>
      <c r="J133" t="s">
        <v>577</v>
      </c>
      <c r="K133" t="s">
        <v>578</v>
      </c>
      <c r="L133">
        <v>1035</v>
      </c>
      <c r="N133">
        <v>1013</v>
      </c>
      <c r="O133" t="s">
        <v>579</v>
      </c>
      <c r="P133" t="s">
        <v>579</v>
      </c>
      <c r="Q133">
        <v>1</v>
      </c>
      <c r="X133">
        <v>120</v>
      </c>
      <c r="Y133">
        <v>0</v>
      </c>
      <c r="Z133">
        <v>0</v>
      </c>
      <c r="AA133">
        <v>0</v>
      </c>
      <c r="AB133">
        <v>0</v>
      </c>
      <c r="AC133">
        <v>1</v>
      </c>
      <c r="AD133">
        <v>0</v>
      </c>
      <c r="AE133">
        <v>0</v>
      </c>
      <c r="AF133" t="s">
        <v>241</v>
      </c>
      <c r="AG133">
        <v>0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ROW(Source!A279)</f>
        <v>279</v>
      </c>
      <c r="B134">
        <v>42358442</v>
      </c>
      <c r="C134">
        <v>42358427</v>
      </c>
      <c r="D134">
        <v>26580923</v>
      </c>
      <c r="E134">
        <v>1</v>
      </c>
      <c r="F134">
        <v>1</v>
      </c>
      <c r="G134">
        <v>1</v>
      </c>
      <c r="H134">
        <v>3</v>
      </c>
      <c r="I134" t="s">
        <v>580</v>
      </c>
      <c r="J134" t="s">
        <v>581</v>
      </c>
      <c r="K134" t="s">
        <v>582</v>
      </c>
      <c r="L134">
        <v>1354</v>
      </c>
      <c r="N134">
        <v>1010</v>
      </c>
      <c r="O134" t="s">
        <v>198</v>
      </c>
      <c r="P134" t="s">
        <v>198</v>
      </c>
      <c r="Q134">
        <v>1</v>
      </c>
      <c r="X134">
        <v>10</v>
      </c>
      <c r="Y134">
        <v>0</v>
      </c>
      <c r="Z134">
        <v>0</v>
      </c>
      <c r="AA134">
        <v>0</v>
      </c>
      <c r="AB134">
        <v>0</v>
      </c>
      <c r="AC134">
        <v>1</v>
      </c>
      <c r="AD134">
        <v>0</v>
      </c>
      <c r="AE134">
        <v>0</v>
      </c>
      <c r="AF134" t="s">
        <v>241</v>
      </c>
      <c r="AG134">
        <v>0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ROW(Source!A280)</f>
        <v>280</v>
      </c>
      <c r="B135">
        <v>42358455</v>
      </c>
      <c r="C135">
        <v>42358446</v>
      </c>
      <c r="D135">
        <v>24225554</v>
      </c>
      <c r="E135">
        <v>1</v>
      </c>
      <c r="F135">
        <v>1</v>
      </c>
      <c r="G135">
        <v>1</v>
      </c>
      <c r="H135">
        <v>1</v>
      </c>
      <c r="I135" t="s">
        <v>506</v>
      </c>
      <c r="J135" t="s">
        <v>3</v>
      </c>
      <c r="K135" t="s">
        <v>507</v>
      </c>
      <c r="L135">
        <v>1476</v>
      </c>
      <c r="N135">
        <v>1013</v>
      </c>
      <c r="O135" t="s">
        <v>380</v>
      </c>
      <c r="P135" t="s">
        <v>381</v>
      </c>
      <c r="Q135">
        <v>1</v>
      </c>
      <c r="X135">
        <v>44.05</v>
      </c>
      <c r="Y135">
        <v>0</v>
      </c>
      <c r="Z135">
        <v>0</v>
      </c>
      <c r="AA135">
        <v>0</v>
      </c>
      <c r="AB135">
        <v>6.94</v>
      </c>
      <c r="AC135">
        <v>0</v>
      </c>
      <c r="AD135">
        <v>1</v>
      </c>
      <c r="AE135">
        <v>1</v>
      </c>
      <c r="AF135" t="s">
        <v>242</v>
      </c>
      <c r="AG135">
        <v>30.834999999999997</v>
      </c>
      <c r="AH135">
        <v>2</v>
      </c>
      <c r="AI135">
        <v>42358447</v>
      </c>
      <c r="AJ135">
        <v>134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ROW(Source!A280)</f>
        <v>280</v>
      </c>
      <c r="B136">
        <v>42358456</v>
      </c>
      <c r="C136">
        <v>42358446</v>
      </c>
      <c r="D136">
        <v>121548</v>
      </c>
      <c r="E136">
        <v>1</v>
      </c>
      <c r="F136">
        <v>1</v>
      </c>
      <c r="G136">
        <v>1</v>
      </c>
      <c r="H136">
        <v>1</v>
      </c>
      <c r="I136" t="s">
        <v>26</v>
      </c>
      <c r="J136" t="s">
        <v>3</v>
      </c>
      <c r="K136" t="s">
        <v>382</v>
      </c>
      <c r="L136">
        <v>608254</v>
      </c>
      <c r="N136">
        <v>1013</v>
      </c>
      <c r="O136" t="s">
        <v>383</v>
      </c>
      <c r="P136" t="s">
        <v>383</v>
      </c>
      <c r="Q136">
        <v>1</v>
      </c>
      <c r="X136">
        <v>28.2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2</v>
      </c>
      <c r="AF136" t="s">
        <v>242</v>
      </c>
      <c r="AG136">
        <v>19.739999999999998</v>
      </c>
      <c r="AH136">
        <v>2</v>
      </c>
      <c r="AI136">
        <v>42358448</v>
      </c>
      <c r="AJ136">
        <v>135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ROW(Source!A280)</f>
        <v>280</v>
      </c>
      <c r="B137">
        <v>42358457</v>
      </c>
      <c r="C137">
        <v>42358446</v>
      </c>
      <c r="D137">
        <v>26554003</v>
      </c>
      <c r="E137">
        <v>1</v>
      </c>
      <c r="F137">
        <v>1</v>
      </c>
      <c r="G137">
        <v>1</v>
      </c>
      <c r="H137">
        <v>2</v>
      </c>
      <c r="I137" t="s">
        <v>508</v>
      </c>
      <c r="J137" t="s">
        <v>509</v>
      </c>
      <c r="K137" t="s">
        <v>510</v>
      </c>
      <c r="L137">
        <v>26553684</v>
      </c>
      <c r="N137">
        <v>1013</v>
      </c>
      <c r="O137" t="s">
        <v>387</v>
      </c>
      <c r="P137" t="s">
        <v>387</v>
      </c>
      <c r="Q137">
        <v>1</v>
      </c>
      <c r="X137">
        <v>28.2</v>
      </c>
      <c r="Y137">
        <v>0</v>
      </c>
      <c r="Z137">
        <v>22.07</v>
      </c>
      <c r="AA137">
        <v>11.38</v>
      </c>
      <c r="AB137">
        <v>0</v>
      </c>
      <c r="AC137">
        <v>0</v>
      </c>
      <c r="AD137">
        <v>1</v>
      </c>
      <c r="AE137">
        <v>0</v>
      </c>
      <c r="AF137" t="s">
        <v>242</v>
      </c>
      <c r="AG137">
        <v>19.739999999999998</v>
      </c>
      <c r="AH137">
        <v>2</v>
      </c>
      <c r="AI137">
        <v>42358449</v>
      </c>
      <c r="AJ137">
        <v>136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ROW(Source!A280)</f>
        <v>280</v>
      </c>
      <c r="B138">
        <v>42358458</v>
      </c>
      <c r="C138">
        <v>42358446</v>
      </c>
      <c r="D138">
        <v>26555500</v>
      </c>
      <c r="E138">
        <v>1</v>
      </c>
      <c r="F138">
        <v>1</v>
      </c>
      <c r="G138">
        <v>1</v>
      </c>
      <c r="H138">
        <v>2</v>
      </c>
      <c r="I138" t="s">
        <v>514</v>
      </c>
      <c r="J138" t="s">
        <v>515</v>
      </c>
      <c r="K138" t="s">
        <v>516</v>
      </c>
      <c r="L138">
        <v>26553684</v>
      </c>
      <c r="N138">
        <v>1013</v>
      </c>
      <c r="O138" t="s">
        <v>387</v>
      </c>
      <c r="P138" t="s">
        <v>387</v>
      </c>
      <c r="Q138">
        <v>1</v>
      </c>
      <c r="X138">
        <v>15.83</v>
      </c>
      <c r="Y138">
        <v>0</v>
      </c>
      <c r="Z138">
        <v>26.26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242</v>
      </c>
      <c r="AG138">
        <v>11.081</v>
      </c>
      <c r="AH138">
        <v>2</v>
      </c>
      <c r="AI138">
        <v>42358450</v>
      </c>
      <c r="AJ138">
        <v>137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ROW(Source!A280)</f>
        <v>280</v>
      </c>
      <c r="B139">
        <v>42358459</v>
      </c>
      <c r="C139">
        <v>42358446</v>
      </c>
      <c r="D139">
        <v>26555589</v>
      </c>
      <c r="E139">
        <v>1</v>
      </c>
      <c r="F139">
        <v>1</v>
      </c>
      <c r="G139">
        <v>1</v>
      </c>
      <c r="H139">
        <v>2</v>
      </c>
      <c r="I139" t="s">
        <v>511</v>
      </c>
      <c r="J139" t="s">
        <v>512</v>
      </c>
      <c r="K139" t="s">
        <v>513</v>
      </c>
      <c r="L139">
        <v>26553684</v>
      </c>
      <c r="N139">
        <v>1013</v>
      </c>
      <c r="O139" t="s">
        <v>387</v>
      </c>
      <c r="P139" t="s">
        <v>387</v>
      </c>
      <c r="Q139">
        <v>1</v>
      </c>
      <c r="X139">
        <v>12.4</v>
      </c>
      <c r="Y139">
        <v>0</v>
      </c>
      <c r="Z139">
        <v>1.05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242</v>
      </c>
      <c r="AG139">
        <v>8.68</v>
      </c>
      <c r="AH139">
        <v>2</v>
      </c>
      <c r="AI139">
        <v>42358451</v>
      </c>
      <c r="AJ139">
        <v>138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ROW(Source!A280)</f>
        <v>280</v>
      </c>
      <c r="B140">
        <v>42358460</v>
      </c>
      <c r="C140">
        <v>42358446</v>
      </c>
      <c r="D140">
        <v>26555822</v>
      </c>
      <c r="E140">
        <v>1</v>
      </c>
      <c r="F140">
        <v>1</v>
      </c>
      <c r="G140">
        <v>1</v>
      </c>
      <c r="H140">
        <v>2</v>
      </c>
      <c r="I140" t="s">
        <v>461</v>
      </c>
      <c r="J140" t="s">
        <v>462</v>
      </c>
      <c r="K140" t="s">
        <v>463</v>
      </c>
      <c r="L140">
        <v>26553684</v>
      </c>
      <c r="N140">
        <v>1013</v>
      </c>
      <c r="O140" t="s">
        <v>387</v>
      </c>
      <c r="P140" t="s">
        <v>387</v>
      </c>
      <c r="Q140">
        <v>1</v>
      </c>
      <c r="X140">
        <v>1.58</v>
      </c>
      <c r="Y140">
        <v>0</v>
      </c>
      <c r="Z140">
        <v>86.55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242</v>
      </c>
      <c r="AG140">
        <v>1.1059999999999999</v>
      </c>
      <c r="AH140">
        <v>2</v>
      </c>
      <c r="AI140">
        <v>42358452</v>
      </c>
      <c r="AJ140">
        <v>139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ROW(Source!A280)</f>
        <v>280</v>
      </c>
      <c r="B141">
        <v>42358461</v>
      </c>
      <c r="C141">
        <v>42358446</v>
      </c>
      <c r="D141">
        <v>26565835</v>
      </c>
      <c r="E141">
        <v>1</v>
      </c>
      <c r="F141">
        <v>1</v>
      </c>
      <c r="G141">
        <v>1</v>
      </c>
      <c r="H141">
        <v>3</v>
      </c>
      <c r="I141" t="s">
        <v>583</v>
      </c>
      <c r="J141" t="s">
        <v>584</v>
      </c>
      <c r="K141" t="s">
        <v>268</v>
      </c>
      <c r="L141">
        <v>1348</v>
      </c>
      <c r="N141">
        <v>1009</v>
      </c>
      <c r="O141" t="s">
        <v>169</v>
      </c>
      <c r="P141" t="s">
        <v>169</v>
      </c>
      <c r="Q141">
        <v>1000</v>
      </c>
      <c r="X141">
        <v>0.03</v>
      </c>
      <c r="Y141">
        <v>0</v>
      </c>
      <c r="Z141">
        <v>0</v>
      </c>
      <c r="AA141">
        <v>0</v>
      </c>
      <c r="AB141">
        <v>0</v>
      </c>
      <c r="AC141">
        <v>1</v>
      </c>
      <c r="AD141">
        <v>0</v>
      </c>
      <c r="AE141">
        <v>0</v>
      </c>
      <c r="AF141" t="s">
        <v>241</v>
      </c>
      <c r="AG141">
        <v>0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ROW(Source!A280)</f>
        <v>280</v>
      </c>
      <c r="B142">
        <v>42358462</v>
      </c>
      <c r="C142">
        <v>42358446</v>
      </c>
      <c r="D142">
        <v>26580934</v>
      </c>
      <c r="E142">
        <v>1</v>
      </c>
      <c r="F142">
        <v>1</v>
      </c>
      <c r="G142">
        <v>1</v>
      </c>
      <c r="H142">
        <v>3</v>
      </c>
      <c r="I142" t="s">
        <v>585</v>
      </c>
      <c r="J142" t="s">
        <v>586</v>
      </c>
      <c r="K142" t="s">
        <v>587</v>
      </c>
      <c r="L142">
        <v>1354</v>
      </c>
      <c r="N142">
        <v>1010</v>
      </c>
      <c r="O142" t="s">
        <v>198</v>
      </c>
      <c r="P142" t="s">
        <v>198</v>
      </c>
      <c r="Q142">
        <v>1</v>
      </c>
      <c r="X142">
        <v>100</v>
      </c>
      <c r="Y142">
        <v>0</v>
      </c>
      <c r="Z142">
        <v>0</v>
      </c>
      <c r="AA142">
        <v>0</v>
      </c>
      <c r="AB142">
        <v>0</v>
      </c>
      <c r="AC142">
        <v>1</v>
      </c>
      <c r="AD142">
        <v>0</v>
      </c>
      <c r="AE142">
        <v>0</v>
      </c>
      <c r="AF142" t="s">
        <v>241</v>
      </c>
      <c r="AG142">
        <v>0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ROW(Source!A281)</f>
        <v>281</v>
      </c>
      <c r="B143">
        <v>42358303</v>
      </c>
      <c r="C143">
        <v>42358296</v>
      </c>
      <c r="D143">
        <v>24233972</v>
      </c>
      <c r="E143">
        <v>1</v>
      </c>
      <c r="F143">
        <v>1</v>
      </c>
      <c r="G143">
        <v>1</v>
      </c>
      <c r="H143">
        <v>1</v>
      </c>
      <c r="I143" t="s">
        <v>517</v>
      </c>
      <c r="J143" t="s">
        <v>3</v>
      </c>
      <c r="K143" t="s">
        <v>518</v>
      </c>
      <c r="L143">
        <v>1476</v>
      </c>
      <c r="N143">
        <v>1013</v>
      </c>
      <c r="O143" t="s">
        <v>380</v>
      </c>
      <c r="P143" t="s">
        <v>381</v>
      </c>
      <c r="Q143">
        <v>1</v>
      </c>
      <c r="X143">
        <v>243.35</v>
      </c>
      <c r="Y143">
        <v>0</v>
      </c>
      <c r="Z143">
        <v>0</v>
      </c>
      <c r="AA143">
        <v>0</v>
      </c>
      <c r="AB143">
        <v>6.76</v>
      </c>
      <c r="AC143">
        <v>0</v>
      </c>
      <c r="AD143">
        <v>1</v>
      </c>
      <c r="AE143">
        <v>1</v>
      </c>
      <c r="AF143" t="s">
        <v>3</v>
      </c>
      <c r="AG143">
        <v>243.35</v>
      </c>
      <c r="AH143">
        <v>2</v>
      </c>
      <c r="AI143">
        <v>42358297</v>
      </c>
      <c r="AJ143">
        <v>140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ROW(Source!A281)</f>
        <v>281</v>
      </c>
      <c r="B144">
        <v>42358304</v>
      </c>
      <c r="C144">
        <v>42358296</v>
      </c>
      <c r="D144">
        <v>121548</v>
      </c>
      <c r="E144">
        <v>1</v>
      </c>
      <c r="F144">
        <v>1</v>
      </c>
      <c r="G144">
        <v>1</v>
      </c>
      <c r="H144">
        <v>1</v>
      </c>
      <c r="I144" t="s">
        <v>26</v>
      </c>
      <c r="J144" t="s">
        <v>3</v>
      </c>
      <c r="K144" t="s">
        <v>382</v>
      </c>
      <c r="L144">
        <v>608254</v>
      </c>
      <c r="N144">
        <v>1013</v>
      </c>
      <c r="O144" t="s">
        <v>383</v>
      </c>
      <c r="P144" t="s">
        <v>383</v>
      </c>
      <c r="Q144">
        <v>1</v>
      </c>
      <c r="X144">
        <v>41.39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2</v>
      </c>
      <c r="AF144" t="s">
        <v>3</v>
      </c>
      <c r="AG144">
        <v>41.39</v>
      </c>
      <c r="AH144">
        <v>2</v>
      </c>
      <c r="AI144">
        <v>42358298</v>
      </c>
      <c r="AJ144">
        <v>141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ROW(Source!A281)</f>
        <v>281</v>
      </c>
      <c r="B145">
        <v>42358305</v>
      </c>
      <c r="C145">
        <v>42358296</v>
      </c>
      <c r="D145">
        <v>26554068</v>
      </c>
      <c r="E145">
        <v>1</v>
      </c>
      <c r="F145">
        <v>1</v>
      </c>
      <c r="G145">
        <v>1</v>
      </c>
      <c r="H145">
        <v>2</v>
      </c>
      <c r="I145" t="s">
        <v>413</v>
      </c>
      <c r="J145" t="s">
        <v>414</v>
      </c>
      <c r="K145" t="s">
        <v>415</v>
      </c>
      <c r="L145">
        <v>26553684</v>
      </c>
      <c r="N145">
        <v>1013</v>
      </c>
      <c r="O145" t="s">
        <v>387</v>
      </c>
      <c r="P145" t="s">
        <v>387</v>
      </c>
      <c r="Q145">
        <v>1</v>
      </c>
      <c r="X145">
        <v>39.25</v>
      </c>
      <c r="Y145">
        <v>0</v>
      </c>
      <c r="Z145">
        <v>89.82</v>
      </c>
      <c r="AA145">
        <v>9.8800000000000008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39.25</v>
      </c>
      <c r="AH145">
        <v>2</v>
      </c>
      <c r="AI145">
        <v>42358299</v>
      </c>
      <c r="AJ145">
        <v>142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ROW(Source!A281)</f>
        <v>281</v>
      </c>
      <c r="B146">
        <v>42358306</v>
      </c>
      <c r="C146">
        <v>42358296</v>
      </c>
      <c r="D146">
        <v>26554263</v>
      </c>
      <c r="E146">
        <v>1</v>
      </c>
      <c r="F146">
        <v>1</v>
      </c>
      <c r="G146">
        <v>1</v>
      </c>
      <c r="H146">
        <v>2</v>
      </c>
      <c r="I146" t="s">
        <v>391</v>
      </c>
      <c r="J146" t="s">
        <v>392</v>
      </c>
      <c r="K146" t="s">
        <v>393</v>
      </c>
      <c r="L146">
        <v>26553684</v>
      </c>
      <c r="N146">
        <v>1013</v>
      </c>
      <c r="O146" t="s">
        <v>387</v>
      </c>
      <c r="P146" t="s">
        <v>387</v>
      </c>
      <c r="Q146">
        <v>1</v>
      </c>
      <c r="X146">
        <v>1.29</v>
      </c>
      <c r="Y146">
        <v>0</v>
      </c>
      <c r="Z146">
        <v>8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1.29</v>
      </c>
      <c r="AH146">
        <v>2</v>
      </c>
      <c r="AI146">
        <v>42358300</v>
      </c>
      <c r="AJ146">
        <v>143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ROW(Source!A281)</f>
        <v>281</v>
      </c>
      <c r="B147">
        <v>42358307</v>
      </c>
      <c r="C147">
        <v>42358296</v>
      </c>
      <c r="D147">
        <v>26554394</v>
      </c>
      <c r="E147">
        <v>1</v>
      </c>
      <c r="F147">
        <v>1</v>
      </c>
      <c r="G147">
        <v>1</v>
      </c>
      <c r="H147">
        <v>2</v>
      </c>
      <c r="I147" t="s">
        <v>432</v>
      </c>
      <c r="J147" t="s">
        <v>433</v>
      </c>
      <c r="K147" t="s">
        <v>434</v>
      </c>
      <c r="L147">
        <v>26553684</v>
      </c>
      <c r="N147">
        <v>1013</v>
      </c>
      <c r="O147" t="s">
        <v>387</v>
      </c>
      <c r="P147" t="s">
        <v>387</v>
      </c>
      <c r="Q147">
        <v>1</v>
      </c>
      <c r="X147">
        <v>2.14</v>
      </c>
      <c r="Y147">
        <v>0</v>
      </c>
      <c r="Z147">
        <v>122.76</v>
      </c>
      <c r="AA147">
        <v>13.26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2.14</v>
      </c>
      <c r="AH147">
        <v>2</v>
      </c>
      <c r="AI147">
        <v>42358301</v>
      </c>
      <c r="AJ147">
        <v>144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ROW(Source!A281)</f>
        <v>281</v>
      </c>
      <c r="B148">
        <v>42358308</v>
      </c>
      <c r="C148">
        <v>42358296</v>
      </c>
      <c r="D148">
        <v>26555456</v>
      </c>
      <c r="E148">
        <v>1</v>
      </c>
      <c r="F148">
        <v>1</v>
      </c>
      <c r="G148">
        <v>1</v>
      </c>
      <c r="H148">
        <v>2</v>
      </c>
      <c r="I148" t="s">
        <v>416</v>
      </c>
      <c r="J148" t="s">
        <v>417</v>
      </c>
      <c r="K148" t="s">
        <v>418</v>
      </c>
      <c r="L148">
        <v>26553684</v>
      </c>
      <c r="N148">
        <v>1013</v>
      </c>
      <c r="O148" t="s">
        <v>387</v>
      </c>
      <c r="P148" t="s">
        <v>387</v>
      </c>
      <c r="Q148">
        <v>1</v>
      </c>
      <c r="X148">
        <v>117.75</v>
      </c>
      <c r="Y148">
        <v>0</v>
      </c>
      <c r="Z148">
        <v>1.53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117.75</v>
      </c>
      <c r="AH148">
        <v>2</v>
      </c>
      <c r="AI148">
        <v>42358302</v>
      </c>
      <c r="AJ148">
        <v>145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ROW(Source!A284)</f>
        <v>284</v>
      </c>
      <c r="B149">
        <v>42358327</v>
      </c>
      <c r="C149">
        <v>42358311</v>
      </c>
      <c r="D149">
        <v>24225554</v>
      </c>
      <c r="E149">
        <v>1</v>
      </c>
      <c r="F149">
        <v>1</v>
      </c>
      <c r="G149">
        <v>1</v>
      </c>
      <c r="H149">
        <v>1</v>
      </c>
      <c r="I149" t="s">
        <v>506</v>
      </c>
      <c r="J149" t="s">
        <v>3</v>
      </c>
      <c r="K149" t="s">
        <v>507</v>
      </c>
      <c r="L149">
        <v>1476</v>
      </c>
      <c r="N149">
        <v>1013</v>
      </c>
      <c r="O149" t="s">
        <v>380</v>
      </c>
      <c r="P149" t="s">
        <v>381</v>
      </c>
      <c r="Q149">
        <v>1</v>
      </c>
      <c r="X149">
        <v>116.82</v>
      </c>
      <c r="Y149">
        <v>0</v>
      </c>
      <c r="Z149">
        <v>0</v>
      </c>
      <c r="AA149">
        <v>0</v>
      </c>
      <c r="AB149">
        <v>6.94</v>
      </c>
      <c r="AC149">
        <v>0</v>
      </c>
      <c r="AD149">
        <v>1</v>
      </c>
      <c r="AE149">
        <v>1</v>
      </c>
      <c r="AF149" t="s">
        <v>139</v>
      </c>
      <c r="AG149">
        <v>134.34299999999999</v>
      </c>
      <c r="AH149">
        <v>2</v>
      </c>
      <c r="AI149">
        <v>42358312</v>
      </c>
      <c r="AJ149">
        <v>146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ROW(Source!A284)</f>
        <v>284</v>
      </c>
      <c r="B150">
        <v>42358328</v>
      </c>
      <c r="C150">
        <v>42358311</v>
      </c>
      <c r="D150">
        <v>121548</v>
      </c>
      <c r="E150">
        <v>1</v>
      </c>
      <c r="F150">
        <v>1</v>
      </c>
      <c r="G150">
        <v>1</v>
      </c>
      <c r="H150">
        <v>1</v>
      </c>
      <c r="I150" t="s">
        <v>26</v>
      </c>
      <c r="J150" t="s">
        <v>3</v>
      </c>
      <c r="K150" t="s">
        <v>382</v>
      </c>
      <c r="L150">
        <v>608254</v>
      </c>
      <c r="N150">
        <v>1013</v>
      </c>
      <c r="O150" t="s">
        <v>383</v>
      </c>
      <c r="P150" t="s">
        <v>383</v>
      </c>
      <c r="Q150">
        <v>1</v>
      </c>
      <c r="X150">
        <v>19.440000000000001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2</v>
      </c>
      <c r="AF150" t="s">
        <v>138</v>
      </c>
      <c r="AG150">
        <v>24.3</v>
      </c>
      <c r="AH150">
        <v>2</v>
      </c>
      <c r="AI150">
        <v>42358313</v>
      </c>
      <c r="AJ150">
        <v>147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ROW(Source!A284)</f>
        <v>284</v>
      </c>
      <c r="B151">
        <v>42358329</v>
      </c>
      <c r="C151">
        <v>42358311</v>
      </c>
      <c r="D151">
        <v>26553729</v>
      </c>
      <c r="E151">
        <v>1</v>
      </c>
      <c r="F151">
        <v>1</v>
      </c>
      <c r="G151">
        <v>1</v>
      </c>
      <c r="H151">
        <v>2</v>
      </c>
      <c r="I151" t="s">
        <v>493</v>
      </c>
      <c r="J151" t="s">
        <v>494</v>
      </c>
      <c r="K151" t="s">
        <v>495</v>
      </c>
      <c r="L151">
        <v>26553684</v>
      </c>
      <c r="N151">
        <v>1013</v>
      </c>
      <c r="O151" t="s">
        <v>387</v>
      </c>
      <c r="P151" t="s">
        <v>387</v>
      </c>
      <c r="Q151">
        <v>1</v>
      </c>
      <c r="X151">
        <v>18.68</v>
      </c>
      <c r="Y151">
        <v>0</v>
      </c>
      <c r="Z151">
        <v>86.16</v>
      </c>
      <c r="AA151">
        <v>13.26</v>
      </c>
      <c r="AB151">
        <v>0</v>
      </c>
      <c r="AC151">
        <v>0</v>
      </c>
      <c r="AD151">
        <v>1</v>
      </c>
      <c r="AE151">
        <v>0</v>
      </c>
      <c r="AF151" t="s">
        <v>138</v>
      </c>
      <c r="AG151">
        <v>23.35</v>
      </c>
      <c r="AH151">
        <v>2</v>
      </c>
      <c r="AI151">
        <v>42358314</v>
      </c>
      <c r="AJ151">
        <v>148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ROW(Source!A284)</f>
        <v>284</v>
      </c>
      <c r="B152">
        <v>42358330</v>
      </c>
      <c r="C152">
        <v>42358311</v>
      </c>
      <c r="D152">
        <v>26553813</v>
      </c>
      <c r="E152">
        <v>1</v>
      </c>
      <c r="F152">
        <v>1</v>
      </c>
      <c r="G152">
        <v>1</v>
      </c>
      <c r="H152">
        <v>2</v>
      </c>
      <c r="I152" t="s">
        <v>446</v>
      </c>
      <c r="J152" t="s">
        <v>447</v>
      </c>
      <c r="K152" t="s">
        <v>448</v>
      </c>
      <c r="L152">
        <v>26553684</v>
      </c>
      <c r="N152">
        <v>1013</v>
      </c>
      <c r="O152" t="s">
        <v>387</v>
      </c>
      <c r="P152" t="s">
        <v>387</v>
      </c>
      <c r="Q152">
        <v>1</v>
      </c>
      <c r="X152">
        <v>0.49</v>
      </c>
      <c r="Y152">
        <v>0</v>
      </c>
      <c r="Z152">
        <v>111.75</v>
      </c>
      <c r="AA152">
        <v>13.26</v>
      </c>
      <c r="AB152">
        <v>0</v>
      </c>
      <c r="AC152">
        <v>0</v>
      </c>
      <c r="AD152">
        <v>1</v>
      </c>
      <c r="AE152">
        <v>0</v>
      </c>
      <c r="AF152" t="s">
        <v>138</v>
      </c>
      <c r="AG152">
        <v>0.61250000000000004</v>
      </c>
      <c r="AH152">
        <v>2</v>
      </c>
      <c r="AI152">
        <v>42358315</v>
      </c>
      <c r="AJ152">
        <v>149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ROW(Source!A284)</f>
        <v>284</v>
      </c>
      <c r="B153">
        <v>42358331</v>
      </c>
      <c r="C153">
        <v>42358311</v>
      </c>
      <c r="D153">
        <v>26553886</v>
      </c>
      <c r="E153">
        <v>1</v>
      </c>
      <c r="F153">
        <v>1</v>
      </c>
      <c r="G153">
        <v>1</v>
      </c>
      <c r="H153">
        <v>2</v>
      </c>
      <c r="I153" t="s">
        <v>429</v>
      </c>
      <c r="J153" t="s">
        <v>430</v>
      </c>
      <c r="K153" t="s">
        <v>431</v>
      </c>
      <c r="L153">
        <v>26553684</v>
      </c>
      <c r="N153">
        <v>1013</v>
      </c>
      <c r="O153" t="s">
        <v>387</v>
      </c>
      <c r="P153" t="s">
        <v>387</v>
      </c>
      <c r="Q153">
        <v>1</v>
      </c>
      <c r="X153">
        <v>0.27</v>
      </c>
      <c r="Y153">
        <v>0</v>
      </c>
      <c r="Z153">
        <v>89.81</v>
      </c>
      <c r="AA153">
        <v>9.8800000000000008</v>
      </c>
      <c r="AB153">
        <v>0</v>
      </c>
      <c r="AC153">
        <v>0</v>
      </c>
      <c r="AD153">
        <v>1</v>
      </c>
      <c r="AE153">
        <v>0</v>
      </c>
      <c r="AF153" t="s">
        <v>138</v>
      </c>
      <c r="AG153">
        <v>0.33750000000000002</v>
      </c>
      <c r="AH153">
        <v>2</v>
      </c>
      <c r="AI153">
        <v>42358316</v>
      </c>
      <c r="AJ153">
        <v>150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ROW(Source!A284)</f>
        <v>284</v>
      </c>
      <c r="B154">
        <v>42358332</v>
      </c>
      <c r="C154">
        <v>42358311</v>
      </c>
      <c r="D154">
        <v>26554371</v>
      </c>
      <c r="E154">
        <v>1</v>
      </c>
      <c r="F154">
        <v>1</v>
      </c>
      <c r="G154">
        <v>1</v>
      </c>
      <c r="H154">
        <v>2</v>
      </c>
      <c r="I154" t="s">
        <v>519</v>
      </c>
      <c r="J154" t="s">
        <v>520</v>
      </c>
      <c r="K154" t="s">
        <v>521</v>
      </c>
      <c r="L154">
        <v>26553684</v>
      </c>
      <c r="N154">
        <v>1013</v>
      </c>
      <c r="O154" t="s">
        <v>387</v>
      </c>
      <c r="P154" t="s">
        <v>387</v>
      </c>
      <c r="Q154">
        <v>1</v>
      </c>
      <c r="X154">
        <v>5.83</v>
      </c>
      <c r="Y154">
        <v>0</v>
      </c>
      <c r="Z154">
        <v>1.9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138</v>
      </c>
      <c r="AG154">
        <v>7.2874999999999996</v>
      </c>
      <c r="AH154">
        <v>2</v>
      </c>
      <c r="AI154">
        <v>42358317</v>
      </c>
      <c r="AJ154">
        <v>151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ROW(Source!A284)</f>
        <v>284</v>
      </c>
      <c r="B155">
        <v>42358333</v>
      </c>
      <c r="C155">
        <v>42358311</v>
      </c>
      <c r="D155">
        <v>26555507</v>
      </c>
      <c r="E155">
        <v>1</v>
      </c>
      <c r="F155">
        <v>1</v>
      </c>
      <c r="G155">
        <v>1</v>
      </c>
      <c r="H155">
        <v>2</v>
      </c>
      <c r="I155" t="s">
        <v>522</v>
      </c>
      <c r="J155" t="s">
        <v>523</v>
      </c>
      <c r="K155" t="s">
        <v>524</v>
      </c>
      <c r="L155">
        <v>26553684</v>
      </c>
      <c r="N155">
        <v>1013</v>
      </c>
      <c r="O155" t="s">
        <v>387</v>
      </c>
      <c r="P155" t="s">
        <v>387</v>
      </c>
      <c r="Q155">
        <v>1</v>
      </c>
      <c r="X155">
        <v>0.1</v>
      </c>
      <c r="Y155">
        <v>0</v>
      </c>
      <c r="Z155">
        <v>3.27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138</v>
      </c>
      <c r="AG155">
        <v>0.125</v>
      </c>
      <c r="AH155">
        <v>2</v>
      </c>
      <c r="AI155">
        <v>42358318</v>
      </c>
      <c r="AJ155">
        <v>152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ROW(Source!A284)</f>
        <v>284</v>
      </c>
      <c r="B156">
        <v>42358334</v>
      </c>
      <c r="C156">
        <v>42358311</v>
      </c>
      <c r="D156">
        <v>26555822</v>
      </c>
      <c r="E156">
        <v>1</v>
      </c>
      <c r="F156">
        <v>1</v>
      </c>
      <c r="G156">
        <v>1</v>
      </c>
      <c r="H156">
        <v>2</v>
      </c>
      <c r="I156" t="s">
        <v>461</v>
      </c>
      <c r="J156" t="s">
        <v>462</v>
      </c>
      <c r="K156" t="s">
        <v>463</v>
      </c>
      <c r="L156">
        <v>26553684</v>
      </c>
      <c r="N156">
        <v>1013</v>
      </c>
      <c r="O156" t="s">
        <v>387</v>
      </c>
      <c r="P156" t="s">
        <v>387</v>
      </c>
      <c r="Q156">
        <v>1</v>
      </c>
      <c r="X156">
        <v>0.71</v>
      </c>
      <c r="Y156">
        <v>0</v>
      </c>
      <c r="Z156">
        <v>86.55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138</v>
      </c>
      <c r="AG156">
        <v>0.88749999999999996</v>
      </c>
      <c r="AH156">
        <v>2</v>
      </c>
      <c r="AI156">
        <v>42358319</v>
      </c>
      <c r="AJ156">
        <v>153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ROW(Source!A284)</f>
        <v>284</v>
      </c>
      <c r="B157">
        <v>42358335</v>
      </c>
      <c r="C157">
        <v>42358311</v>
      </c>
      <c r="D157">
        <v>26558648</v>
      </c>
      <c r="E157">
        <v>1</v>
      </c>
      <c r="F157">
        <v>1</v>
      </c>
      <c r="G157">
        <v>1</v>
      </c>
      <c r="H157">
        <v>3</v>
      </c>
      <c r="I157" t="s">
        <v>499</v>
      </c>
      <c r="J157" t="s">
        <v>500</v>
      </c>
      <c r="K157" t="s">
        <v>501</v>
      </c>
      <c r="L157">
        <v>1327</v>
      </c>
      <c r="N157">
        <v>1005</v>
      </c>
      <c r="O157" t="s">
        <v>502</v>
      </c>
      <c r="P157" t="s">
        <v>502</v>
      </c>
      <c r="Q157">
        <v>1</v>
      </c>
      <c r="X157">
        <v>30</v>
      </c>
      <c r="Y157">
        <v>9.1999999999999993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30</v>
      </c>
      <c r="AH157">
        <v>2</v>
      </c>
      <c r="AI157">
        <v>42358320</v>
      </c>
      <c r="AJ157">
        <v>154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ROW(Source!A284)</f>
        <v>284</v>
      </c>
      <c r="B158">
        <v>42358336</v>
      </c>
      <c r="C158">
        <v>42358311</v>
      </c>
      <c r="D158">
        <v>26558869</v>
      </c>
      <c r="E158">
        <v>1</v>
      </c>
      <c r="F158">
        <v>1</v>
      </c>
      <c r="G158">
        <v>1</v>
      </c>
      <c r="H158">
        <v>3</v>
      </c>
      <c r="I158" t="s">
        <v>479</v>
      </c>
      <c r="J158" t="s">
        <v>480</v>
      </c>
      <c r="K158" t="s">
        <v>481</v>
      </c>
      <c r="L158">
        <v>1348</v>
      </c>
      <c r="N158">
        <v>1009</v>
      </c>
      <c r="O158" t="s">
        <v>169</v>
      </c>
      <c r="P158" t="s">
        <v>169</v>
      </c>
      <c r="Q158">
        <v>1000</v>
      </c>
      <c r="X158">
        <v>2E-3</v>
      </c>
      <c r="Y158">
        <v>10992.4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2E-3</v>
      </c>
      <c r="AH158">
        <v>2</v>
      </c>
      <c r="AI158">
        <v>42358321</v>
      </c>
      <c r="AJ158">
        <v>155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ROW(Source!A284)</f>
        <v>284</v>
      </c>
      <c r="B159">
        <v>42358337</v>
      </c>
      <c r="C159">
        <v>42358311</v>
      </c>
      <c r="D159">
        <v>26565950</v>
      </c>
      <c r="E159">
        <v>1</v>
      </c>
      <c r="F159">
        <v>1</v>
      </c>
      <c r="G159">
        <v>1</v>
      </c>
      <c r="H159">
        <v>3</v>
      </c>
      <c r="I159" t="s">
        <v>525</v>
      </c>
      <c r="J159" t="s">
        <v>526</v>
      </c>
      <c r="K159" t="s">
        <v>527</v>
      </c>
      <c r="L159">
        <v>1339</v>
      </c>
      <c r="N159">
        <v>1007</v>
      </c>
      <c r="O159" t="s">
        <v>130</v>
      </c>
      <c r="P159" t="s">
        <v>130</v>
      </c>
      <c r="Q159">
        <v>1</v>
      </c>
      <c r="X159">
        <v>0.04</v>
      </c>
      <c r="Y159">
        <v>959.12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0.04</v>
      </c>
      <c r="AH159">
        <v>2</v>
      </c>
      <c r="AI159">
        <v>42358322</v>
      </c>
      <c r="AJ159">
        <v>156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ROW(Source!A284)</f>
        <v>284</v>
      </c>
      <c r="B160">
        <v>42358338</v>
      </c>
      <c r="C160">
        <v>42358311</v>
      </c>
      <c r="D160">
        <v>26581635</v>
      </c>
      <c r="E160">
        <v>1</v>
      </c>
      <c r="F160">
        <v>1</v>
      </c>
      <c r="G160">
        <v>1</v>
      </c>
      <c r="H160">
        <v>3</v>
      </c>
      <c r="I160" t="s">
        <v>528</v>
      </c>
      <c r="J160" t="s">
        <v>529</v>
      </c>
      <c r="K160" t="s">
        <v>530</v>
      </c>
      <c r="L160">
        <v>1327</v>
      </c>
      <c r="N160">
        <v>1005</v>
      </c>
      <c r="O160" t="s">
        <v>502</v>
      </c>
      <c r="P160" t="s">
        <v>502</v>
      </c>
      <c r="Q160">
        <v>1</v>
      </c>
      <c r="X160">
        <v>3.6</v>
      </c>
      <c r="Y160">
        <v>54.22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3.6</v>
      </c>
      <c r="AH160">
        <v>2</v>
      </c>
      <c r="AI160">
        <v>42358323</v>
      </c>
      <c r="AJ160">
        <v>157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ROW(Source!A284)</f>
        <v>284</v>
      </c>
      <c r="B161">
        <v>42358339</v>
      </c>
      <c r="C161">
        <v>42358311</v>
      </c>
      <c r="D161">
        <v>26597197</v>
      </c>
      <c r="E161">
        <v>1</v>
      </c>
      <c r="F161">
        <v>1</v>
      </c>
      <c r="G161">
        <v>1</v>
      </c>
      <c r="H161">
        <v>3</v>
      </c>
      <c r="I161" t="s">
        <v>531</v>
      </c>
      <c r="J161" t="s">
        <v>532</v>
      </c>
      <c r="K161" t="s">
        <v>533</v>
      </c>
      <c r="L161">
        <v>1339</v>
      </c>
      <c r="N161">
        <v>1007</v>
      </c>
      <c r="O161" t="s">
        <v>130</v>
      </c>
      <c r="P161" t="s">
        <v>130</v>
      </c>
      <c r="Q161">
        <v>1</v>
      </c>
      <c r="X161">
        <v>102</v>
      </c>
      <c r="Y161">
        <v>521.88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102</v>
      </c>
      <c r="AH161">
        <v>2</v>
      </c>
      <c r="AI161">
        <v>42358324</v>
      </c>
      <c r="AJ161">
        <v>158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ROW(Source!A284)</f>
        <v>284</v>
      </c>
      <c r="B162">
        <v>42358340</v>
      </c>
      <c r="C162">
        <v>42358311</v>
      </c>
      <c r="D162">
        <v>26607369</v>
      </c>
      <c r="E162">
        <v>1</v>
      </c>
      <c r="F162">
        <v>1</v>
      </c>
      <c r="G162">
        <v>1</v>
      </c>
      <c r="H162">
        <v>3</v>
      </c>
      <c r="I162" t="s">
        <v>534</v>
      </c>
      <c r="J162" t="s">
        <v>535</v>
      </c>
      <c r="K162" t="s">
        <v>536</v>
      </c>
      <c r="L162">
        <v>1348</v>
      </c>
      <c r="N162">
        <v>1009</v>
      </c>
      <c r="O162" t="s">
        <v>169</v>
      </c>
      <c r="P162" t="s">
        <v>169</v>
      </c>
      <c r="Q162">
        <v>1000</v>
      </c>
      <c r="X162">
        <v>0.01</v>
      </c>
      <c r="Y162">
        <v>680.16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0.01</v>
      </c>
      <c r="AH162">
        <v>2</v>
      </c>
      <c r="AI162">
        <v>42358325</v>
      </c>
      <c r="AJ162">
        <v>159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ROW(Source!A284)</f>
        <v>284</v>
      </c>
      <c r="B163">
        <v>42358341</v>
      </c>
      <c r="C163">
        <v>42358311</v>
      </c>
      <c r="D163">
        <v>26608102</v>
      </c>
      <c r="E163">
        <v>1</v>
      </c>
      <c r="F163">
        <v>1</v>
      </c>
      <c r="G163">
        <v>1</v>
      </c>
      <c r="H163">
        <v>3</v>
      </c>
      <c r="I163" t="s">
        <v>408</v>
      </c>
      <c r="J163" t="s">
        <v>409</v>
      </c>
      <c r="K163" t="s">
        <v>410</v>
      </c>
      <c r="L163">
        <v>1339</v>
      </c>
      <c r="N163">
        <v>1007</v>
      </c>
      <c r="O163" t="s">
        <v>130</v>
      </c>
      <c r="P163" t="s">
        <v>130</v>
      </c>
      <c r="Q163">
        <v>1</v>
      </c>
      <c r="X163">
        <v>0.73</v>
      </c>
      <c r="Y163">
        <v>2.2599999999999998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0.73</v>
      </c>
      <c r="AH163">
        <v>2</v>
      </c>
      <c r="AI163">
        <v>42358326</v>
      </c>
      <c r="AJ163">
        <v>160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ROW(Source!A285)</f>
        <v>285</v>
      </c>
      <c r="B164">
        <v>42358349</v>
      </c>
      <c r="C164">
        <v>42358342</v>
      </c>
      <c r="D164">
        <v>24225471</v>
      </c>
      <c r="E164">
        <v>1</v>
      </c>
      <c r="F164">
        <v>1</v>
      </c>
      <c r="G164">
        <v>1</v>
      </c>
      <c r="H164">
        <v>1</v>
      </c>
      <c r="I164" t="s">
        <v>537</v>
      </c>
      <c r="J164" t="s">
        <v>3</v>
      </c>
      <c r="K164" t="s">
        <v>538</v>
      </c>
      <c r="L164">
        <v>1476</v>
      </c>
      <c r="N164">
        <v>1013</v>
      </c>
      <c r="O164" t="s">
        <v>380</v>
      </c>
      <c r="P164" t="s">
        <v>381</v>
      </c>
      <c r="Q164">
        <v>1</v>
      </c>
      <c r="X164">
        <v>12.64</v>
      </c>
      <c r="Y164">
        <v>0</v>
      </c>
      <c r="Z164">
        <v>0</v>
      </c>
      <c r="AA164">
        <v>0</v>
      </c>
      <c r="AB164">
        <v>7.21</v>
      </c>
      <c r="AC164">
        <v>0</v>
      </c>
      <c r="AD164">
        <v>1</v>
      </c>
      <c r="AE164">
        <v>1</v>
      </c>
      <c r="AF164" t="s">
        <v>13</v>
      </c>
      <c r="AG164">
        <v>14.536</v>
      </c>
      <c r="AH164">
        <v>2</v>
      </c>
      <c r="AI164">
        <v>42358343</v>
      </c>
      <c r="AJ164">
        <v>161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ROW(Source!A285)</f>
        <v>285</v>
      </c>
      <c r="B165">
        <v>42358350</v>
      </c>
      <c r="C165">
        <v>42358342</v>
      </c>
      <c r="D165">
        <v>121548</v>
      </c>
      <c r="E165">
        <v>1</v>
      </c>
      <c r="F165">
        <v>1</v>
      </c>
      <c r="G165">
        <v>1</v>
      </c>
      <c r="H165">
        <v>1</v>
      </c>
      <c r="I165" t="s">
        <v>26</v>
      </c>
      <c r="J165" t="s">
        <v>3</v>
      </c>
      <c r="K165" t="s">
        <v>382</v>
      </c>
      <c r="L165">
        <v>608254</v>
      </c>
      <c r="N165">
        <v>1013</v>
      </c>
      <c r="O165" t="s">
        <v>383</v>
      </c>
      <c r="P165" t="s">
        <v>383</v>
      </c>
      <c r="Q165">
        <v>1</v>
      </c>
      <c r="X165">
        <v>0.16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2</v>
      </c>
      <c r="AF165" t="s">
        <v>12</v>
      </c>
      <c r="AG165">
        <v>0.2</v>
      </c>
      <c r="AH165">
        <v>2</v>
      </c>
      <c r="AI165">
        <v>42358344</v>
      </c>
      <c r="AJ165">
        <v>162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ROW(Source!A285)</f>
        <v>285</v>
      </c>
      <c r="B166">
        <v>42358351</v>
      </c>
      <c r="C166">
        <v>42358342</v>
      </c>
      <c r="D166">
        <v>26553813</v>
      </c>
      <c r="E166">
        <v>1</v>
      </c>
      <c r="F166">
        <v>1</v>
      </c>
      <c r="G166">
        <v>1</v>
      </c>
      <c r="H166">
        <v>2</v>
      </c>
      <c r="I166" t="s">
        <v>446</v>
      </c>
      <c r="J166" t="s">
        <v>447</v>
      </c>
      <c r="K166" t="s">
        <v>448</v>
      </c>
      <c r="L166">
        <v>26553684</v>
      </c>
      <c r="N166">
        <v>1013</v>
      </c>
      <c r="O166" t="s">
        <v>387</v>
      </c>
      <c r="P166" t="s">
        <v>387</v>
      </c>
      <c r="Q166">
        <v>1</v>
      </c>
      <c r="X166">
        <v>0.16</v>
      </c>
      <c r="Y166">
        <v>0</v>
      </c>
      <c r="Z166">
        <v>111.75</v>
      </c>
      <c r="AA166">
        <v>13.26</v>
      </c>
      <c r="AB166">
        <v>0</v>
      </c>
      <c r="AC166">
        <v>0</v>
      </c>
      <c r="AD166">
        <v>1</v>
      </c>
      <c r="AE166">
        <v>0</v>
      </c>
      <c r="AF166" t="s">
        <v>12</v>
      </c>
      <c r="AG166">
        <v>0.2</v>
      </c>
      <c r="AH166">
        <v>2</v>
      </c>
      <c r="AI166">
        <v>42358345</v>
      </c>
      <c r="AJ166">
        <v>163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ROW(Source!A285)</f>
        <v>285</v>
      </c>
      <c r="B167">
        <v>42358352</v>
      </c>
      <c r="C167">
        <v>42358342</v>
      </c>
      <c r="D167">
        <v>26555822</v>
      </c>
      <c r="E167">
        <v>1</v>
      </c>
      <c r="F167">
        <v>1</v>
      </c>
      <c r="G167">
        <v>1</v>
      </c>
      <c r="H167">
        <v>2</v>
      </c>
      <c r="I167" t="s">
        <v>461</v>
      </c>
      <c r="J167" t="s">
        <v>462</v>
      </c>
      <c r="K167" t="s">
        <v>463</v>
      </c>
      <c r="L167">
        <v>26553684</v>
      </c>
      <c r="N167">
        <v>1013</v>
      </c>
      <c r="O167" t="s">
        <v>387</v>
      </c>
      <c r="P167" t="s">
        <v>387</v>
      </c>
      <c r="Q167">
        <v>1</v>
      </c>
      <c r="X167">
        <v>0.22</v>
      </c>
      <c r="Y167">
        <v>0</v>
      </c>
      <c r="Z167">
        <v>86.55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12</v>
      </c>
      <c r="AG167">
        <v>0.27500000000000002</v>
      </c>
      <c r="AH167">
        <v>2</v>
      </c>
      <c r="AI167">
        <v>42358346</v>
      </c>
      <c r="AJ167">
        <v>164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ROW(Source!A285)</f>
        <v>285</v>
      </c>
      <c r="B168">
        <v>42358353</v>
      </c>
      <c r="C168">
        <v>42358342</v>
      </c>
      <c r="D168">
        <v>26557726</v>
      </c>
      <c r="E168">
        <v>1</v>
      </c>
      <c r="F168">
        <v>1</v>
      </c>
      <c r="G168">
        <v>1</v>
      </c>
      <c r="H168">
        <v>3</v>
      </c>
      <c r="I168" t="s">
        <v>539</v>
      </c>
      <c r="J168" t="s">
        <v>540</v>
      </c>
      <c r="K168" t="s">
        <v>541</v>
      </c>
      <c r="L168">
        <v>1348</v>
      </c>
      <c r="N168">
        <v>1009</v>
      </c>
      <c r="O168" t="s">
        <v>169</v>
      </c>
      <c r="P168" t="s">
        <v>169</v>
      </c>
      <c r="Q168">
        <v>1000</v>
      </c>
      <c r="X168">
        <v>2.8000000000000001E-2</v>
      </c>
      <c r="Y168">
        <v>9240.19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2.8000000000000001E-2</v>
      </c>
      <c r="AH168">
        <v>2</v>
      </c>
      <c r="AI168">
        <v>42358347</v>
      </c>
      <c r="AJ168">
        <v>165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ROW(Source!A285)</f>
        <v>285</v>
      </c>
      <c r="B169">
        <v>42358354</v>
      </c>
      <c r="C169">
        <v>42358342</v>
      </c>
      <c r="D169">
        <v>26582644</v>
      </c>
      <c r="E169">
        <v>1</v>
      </c>
      <c r="F169">
        <v>1</v>
      </c>
      <c r="G169">
        <v>1</v>
      </c>
      <c r="H169">
        <v>3</v>
      </c>
      <c r="I169" t="s">
        <v>542</v>
      </c>
      <c r="J169" t="s">
        <v>543</v>
      </c>
      <c r="K169" t="s">
        <v>544</v>
      </c>
      <c r="L169">
        <v>1348</v>
      </c>
      <c r="N169">
        <v>1009</v>
      </c>
      <c r="O169" t="s">
        <v>169</v>
      </c>
      <c r="P169" t="s">
        <v>169</v>
      </c>
      <c r="Q169">
        <v>1000</v>
      </c>
      <c r="X169">
        <v>1</v>
      </c>
      <c r="Y169">
        <v>5272.44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1</v>
      </c>
      <c r="AH169">
        <v>2</v>
      </c>
      <c r="AI169">
        <v>42358348</v>
      </c>
      <c r="AJ169">
        <v>166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ROW(Source!A286)</f>
        <v>286</v>
      </c>
      <c r="B170">
        <v>42358364</v>
      </c>
      <c r="C170">
        <v>42358355</v>
      </c>
      <c r="D170">
        <v>24225554</v>
      </c>
      <c r="E170">
        <v>1</v>
      </c>
      <c r="F170">
        <v>1</v>
      </c>
      <c r="G170">
        <v>1</v>
      </c>
      <c r="H170">
        <v>1</v>
      </c>
      <c r="I170" t="s">
        <v>506</v>
      </c>
      <c r="J170" t="s">
        <v>3</v>
      </c>
      <c r="K170" t="s">
        <v>507</v>
      </c>
      <c r="L170">
        <v>1476</v>
      </c>
      <c r="N170">
        <v>1013</v>
      </c>
      <c r="O170" t="s">
        <v>380</v>
      </c>
      <c r="P170" t="s">
        <v>381</v>
      </c>
      <c r="Q170">
        <v>1</v>
      </c>
      <c r="X170">
        <v>44.05</v>
      </c>
      <c r="Y170">
        <v>0</v>
      </c>
      <c r="Z170">
        <v>0</v>
      </c>
      <c r="AA170">
        <v>0</v>
      </c>
      <c r="AB170">
        <v>6.94</v>
      </c>
      <c r="AC170">
        <v>0</v>
      </c>
      <c r="AD170">
        <v>1</v>
      </c>
      <c r="AE170">
        <v>1</v>
      </c>
      <c r="AF170" t="s">
        <v>13</v>
      </c>
      <c r="AG170">
        <v>50.657499999999992</v>
      </c>
      <c r="AH170">
        <v>2</v>
      </c>
      <c r="AI170">
        <v>42358356</v>
      </c>
      <c r="AJ170">
        <v>167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ROW(Source!A286)</f>
        <v>286</v>
      </c>
      <c r="B171">
        <v>42358365</v>
      </c>
      <c r="C171">
        <v>42358355</v>
      </c>
      <c r="D171">
        <v>121548</v>
      </c>
      <c r="E171">
        <v>1</v>
      </c>
      <c r="F171">
        <v>1</v>
      </c>
      <c r="G171">
        <v>1</v>
      </c>
      <c r="H171">
        <v>1</v>
      </c>
      <c r="I171" t="s">
        <v>26</v>
      </c>
      <c r="J171" t="s">
        <v>3</v>
      </c>
      <c r="K171" t="s">
        <v>382</v>
      </c>
      <c r="L171">
        <v>608254</v>
      </c>
      <c r="N171">
        <v>1013</v>
      </c>
      <c r="O171" t="s">
        <v>383</v>
      </c>
      <c r="P171" t="s">
        <v>383</v>
      </c>
      <c r="Q171">
        <v>1</v>
      </c>
      <c r="X171">
        <v>28.2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2</v>
      </c>
      <c r="AF171" t="s">
        <v>12</v>
      </c>
      <c r="AG171">
        <v>35.25</v>
      </c>
      <c r="AH171">
        <v>2</v>
      </c>
      <c r="AI171">
        <v>42358357</v>
      </c>
      <c r="AJ171">
        <v>168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ROW(Source!A286)</f>
        <v>286</v>
      </c>
      <c r="B172">
        <v>42358366</v>
      </c>
      <c r="C172">
        <v>42358355</v>
      </c>
      <c r="D172">
        <v>26554003</v>
      </c>
      <c r="E172">
        <v>1</v>
      </c>
      <c r="F172">
        <v>1</v>
      </c>
      <c r="G172">
        <v>1</v>
      </c>
      <c r="H172">
        <v>2</v>
      </c>
      <c r="I172" t="s">
        <v>508</v>
      </c>
      <c r="J172" t="s">
        <v>509</v>
      </c>
      <c r="K172" t="s">
        <v>510</v>
      </c>
      <c r="L172">
        <v>26553684</v>
      </c>
      <c r="N172">
        <v>1013</v>
      </c>
      <c r="O172" t="s">
        <v>387</v>
      </c>
      <c r="P172" t="s">
        <v>387</v>
      </c>
      <c r="Q172">
        <v>1</v>
      </c>
      <c r="X172">
        <v>28.2</v>
      </c>
      <c r="Y172">
        <v>0</v>
      </c>
      <c r="Z172">
        <v>22.07</v>
      </c>
      <c r="AA172">
        <v>11.38</v>
      </c>
      <c r="AB172">
        <v>0</v>
      </c>
      <c r="AC172">
        <v>0</v>
      </c>
      <c r="AD172">
        <v>1</v>
      </c>
      <c r="AE172">
        <v>0</v>
      </c>
      <c r="AF172" t="s">
        <v>12</v>
      </c>
      <c r="AG172">
        <v>35.25</v>
      </c>
      <c r="AH172">
        <v>2</v>
      </c>
      <c r="AI172">
        <v>42358358</v>
      </c>
      <c r="AJ172">
        <v>169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ROW(Source!A286)</f>
        <v>286</v>
      </c>
      <c r="B173">
        <v>42358367</v>
      </c>
      <c r="C173">
        <v>42358355</v>
      </c>
      <c r="D173">
        <v>26555500</v>
      </c>
      <c r="E173">
        <v>1</v>
      </c>
      <c r="F173">
        <v>1</v>
      </c>
      <c r="G173">
        <v>1</v>
      </c>
      <c r="H173">
        <v>2</v>
      </c>
      <c r="I173" t="s">
        <v>514</v>
      </c>
      <c r="J173" t="s">
        <v>515</v>
      </c>
      <c r="K173" t="s">
        <v>516</v>
      </c>
      <c r="L173">
        <v>26553684</v>
      </c>
      <c r="N173">
        <v>1013</v>
      </c>
      <c r="O173" t="s">
        <v>387</v>
      </c>
      <c r="P173" t="s">
        <v>387</v>
      </c>
      <c r="Q173">
        <v>1</v>
      </c>
      <c r="X173">
        <v>15.83</v>
      </c>
      <c r="Y173">
        <v>0</v>
      </c>
      <c r="Z173">
        <v>26.26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12</v>
      </c>
      <c r="AG173">
        <v>19.787500000000001</v>
      </c>
      <c r="AH173">
        <v>2</v>
      </c>
      <c r="AI173">
        <v>42358359</v>
      </c>
      <c r="AJ173">
        <v>170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ROW(Source!A286)</f>
        <v>286</v>
      </c>
      <c r="B174">
        <v>42358368</v>
      </c>
      <c r="C174">
        <v>42358355</v>
      </c>
      <c r="D174">
        <v>26555589</v>
      </c>
      <c r="E174">
        <v>1</v>
      </c>
      <c r="F174">
        <v>1</v>
      </c>
      <c r="G174">
        <v>1</v>
      </c>
      <c r="H174">
        <v>2</v>
      </c>
      <c r="I174" t="s">
        <v>511</v>
      </c>
      <c r="J174" t="s">
        <v>512</v>
      </c>
      <c r="K174" t="s">
        <v>513</v>
      </c>
      <c r="L174">
        <v>26553684</v>
      </c>
      <c r="N174">
        <v>1013</v>
      </c>
      <c r="O174" t="s">
        <v>387</v>
      </c>
      <c r="P174" t="s">
        <v>387</v>
      </c>
      <c r="Q174">
        <v>1</v>
      </c>
      <c r="X174">
        <v>12.4</v>
      </c>
      <c r="Y174">
        <v>0</v>
      </c>
      <c r="Z174">
        <v>1.05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12</v>
      </c>
      <c r="AG174">
        <v>15.5</v>
      </c>
      <c r="AH174">
        <v>2</v>
      </c>
      <c r="AI174">
        <v>42358360</v>
      </c>
      <c r="AJ174">
        <v>171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ROW(Source!A286)</f>
        <v>286</v>
      </c>
      <c r="B175">
        <v>42358369</v>
      </c>
      <c r="C175">
        <v>42358355</v>
      </c>
      <c r="D175">
        <v>26555822</v>
      </c>
      <c r="E175">
        <v>1</v>
      </c>
      <c r="F175">
        <v>1</v>
      </c>
      <c r="G175">
        <v>1</v>
      </c>
      <c r="H175">
        <v>2</v>
      </c>
      <c r="I175" t="s">
        <v>461</v>
      </c>
      <c r="J175" t="s">
        <v>462</v>
      </c>
      <c r="K175" t="s">
        <v>463</v>
      </c>
      <c r="L175">
        <v>26553684</v>
      </c>
      <c r="N175">
        <v>1013</v>
      </c>
      <c r="O175" t="s">
        <v>387</v>
      </c>
      <c r="P175" t="s">
        <v>387</v>
      </c>
      <c r="Q175">
        <v>1</v>
      </c>
      <c r="X175">
        <v>1.58</v>
      </c>
      <c r="Y175">
        <v>0</v>
      </c>
      <c r="Z175">
        <v>86.55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12</v>
      </c>
      <c r="AG175">
        <v>1.9750000000000001</v>
      </c>
      <c r="AH175">
        <v>2</v>
      </c>
      <c r="AI175">
        <v>42358361</v>
      </c>
      <c r="AJ175">
        <v>172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ROW(Source!A286)</f>
        <v>286</v>
      </c>
      <c r="B176">
        <v>42358370</v>
      </c>
      <c r="C176">
        <v>42358355</v>
      </c>
      <c r="D176">
        <v>26565835</v>
      </c>
      <c r="E176">
        <v>1</v>
      </c>
      <c r="F176">
        <v>1</v>
      </c>
      <c r="G176">
        <v>1</v>
      </c>
      <c r="H176">
        <v>3</v>
      </c>
      <c r="I176" t="s">
        <v>583</v>
      </c>
      <c r="J176" t="s">
        <v>584</v>
      </c>
      <c r="K176" t="s">
        <v>268</v>
      </c>
      <c r="L176">
        <v>1348</v>
      </c>
      <c r="N176">
        <v>1009</v>
      </c>
      <c r="O176" t="s">
        <v>169</v>
      </c>
      <c r="P176" t="s">
        <v>169</v>
      </c>
      <c r="Q176">
        <v>1000</v>
      </c>
      <c r="X176">
        <v>0.03</v>
      </c>
      <c r="Y176">
        <v>0</v>
      </c>
      <c r="Z176">
        <v>0</v>
      </c>
      <c r="AA176">
        <v>0</v>
      </c>
      <c r="AB176">
        <v>0</v>
      </c>
      <c r="AC176">
        <v>1</v>
      </c>
      <c r="AD176">
        <v>0</v>
      </c>
      <c r="AE176">
        <v>0</v>
      </c>
      <c r="AF176" t="s">
        <v>3</v>
      </c>
      <c r="AG176">
        <v>0.03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ROW(Source!A286)</f>
        <v>286</v>
      </c>
      <c r="B177">
        <v>42358371</v>
      </c>
      <c r="C177">
        <v>42358355</v>
      </c>
      <c r="D177">
        <v>26580934</v>
      </c>
      <c r="E177">
        <v>1</v>
      </c>
      <c r="F177">
        <v>1</v>
      </c>
      <c r="G177">
        <v>1</v>
      </c>
      <c r="H177">
        <v>3</v>
      </c>
      <c r="I177" t="s">
        <v>585</v>
      </c>
      <c r="J177" t="s">
        <v>586</v>
      </c>
      <c r="K177" t="s">
        <v>587</v>
      </c>
      <c r="L177">
        <v>1354</v>
      </c>
      <c r="N177">
        <v>1010</v>
      </c>
      <c r="O177" t="s">
        <v>198</v>
      </c>
      <c r="P177" t="s">
        <v>198</v>
      </c>
      <c r="Q177">
        <v>1</v>
      </c>
      <c r="X177">
        <v>100</v>
      </c>
      <c r="Y177">
        <v>0</v>
      </c>
      <c r="Z177">
        <v>0</v>
      </c>
      <c r="AA177">
        <v>0</v>
      </c>
      <c r="AB177">
        <v>0</v>
      </c>
      <c r="AC177">
        <v>1</v>
      </c>
      <c r="AD177">
        <v>0</v>
      </c>
      <c r="AE177">
        <v>0</v>
      </c>
      <c r="AF177" t="s">
        <v>3</v>
      </c>
      <c r="AG177">
        <v>100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ROW(Source!A289)</f>
        <v>289</v>
      </c>
      <c r="B178">
        <v>42358383</v>
      </c>
      <c r="C178">
        <v>42358374</v>
      </c>
      <c r="D178">
        <v>24225554</v>
      </c>
      <c r="E178">
        <v>1</v>
      </c>
      <c r="F178">
        <v>1</v>
      </c>
      <c r="G178">
        <v>1</v>
      </c>
      <c r="H178">
        <v>1</v>
      </c>
      <c r="I178" t="s">
        <v>506</v>
      </c>
      <c r="J178" t="s">
        <v>3</v>
      </c>
      <c r="K178" t="s">
        <v>507</v>
      </c>
      <c r="L178">
        <v>1476</v>
      </c>
      <c r="N178">
        <v>1013</v>
      </c>
      <c r="O178" t="s">
        <v>380</v>
      </c>
      <c r="P178" t="s">
        <v>381</v>
      </c>
      <c r="Q178">
        <v>1</v>
      </c>
      <c r="X178">
        <v>7.11</v>
      </c>
      <c r="Y178">
        <v>0</v>
      </c>
      <c r="Z178">
        <v>0</v>
      </c>
      <c r="AA178">
        <v>0</v>
      </c>
      <c r="AB178">
        <v>6.94</v>
      </c>
      <c r="AC178">
        <v>0</v>
      </c>
      <c r="AD178">
        <v>1</v>
      </c>
      <c r="AE178">
        <v>1</v>
      </c>
      <c r="AF178" t="s">
        <v>139</v>
      </c>
      <c r="AG178">
        <v>8.176499999999999</v>
      </c>
      <c r="AH178">
        <v>2</v>
      </c>
      <c r="AI178">
        <v>42358375</v>
      </c>
      <c r="AJ178">
        <v>175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ROW(Source!A289)</f>
        <v>289</v>
      </c>
      <c r="B179">
        <v>42358384</v>
      </c>
      <c r="C179">
        <v>42358374</v>
      </c>
      <c r="D179">
        <v>121548</v>
      </c>
      <c r="E179">
        <v>1</v>
      </c>
      <c r="F179">
        <v>1</v>
      </c>
      <c r="G179">
        <v>1</v>
      </c>
      <c r="H179">
        <v>1</v>
      </c>
      <c r="I179" t="s">
        <v>26</v>
      </c>
      <c r="J179" t="s">
        <v>3</v>
      </c>
      <c r="K179" t="s">
        <v>382</v>
      </c>
      <c r="L179">
        <v>608254</v>
      </c>
      <c r="N179">
        <v>1013</v>
      </c>
      <c r="O179" t="s">
        <v>383</v>
      </c>
      <c r="P179" t="s">
        <v>383</v>
      </c>
      <c r="Q179">
        <v>1</v>
      </c>
      <c r="X179">
        <v>0.56999999999999995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2</v>
      </c>
      <c r="AF179" t="s">
        <v>138</v>
      </c>
      <c r="AG179">
        <v>0.71249999999999991</v>
      </c>
      <c r="AH179">
        <v>2</v>
      </c>
      <c r="AI179">
        <v>42358376</v>
      </c>
      <c r="AJ179">
        <v>176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ROW(Source!A289)</f>
        <v>289</v>
      </c>
      <c r="B180">
        <v>42358385</v>
      </c>
      <c r="C180">
        <v>42358374</v>
      </c>
      <c r="D180">
        <v>26554003</v>
      </c>
      <c r="E180">
        <v>1</v>
      </c>
      <c r="F180">
        <v>1</v>
      </c>
      <c r="G180">
        <v>1</v>
      </c>
      <c r="H180">
        <v>2</v>
      </c>
      <c r="I180" t="s">
        <v>508</v>
      </c>
      <c r="J180" t="s">
        <v>509</v>
      </c>
      <c r="K180" t="s">
        <v>510</v>
      </c>
      <c r="L180">
        <v>26553684</v>
      </c>
      <c r="N180">
        <v>1013</v>
      </c>
      <c r="O180" t="s">
        <v>387</v>
      </c>
      <c r="P180" t="s">
        <v>387</v>
      </c>
      <c r="Q180">
        <v>1</v>
      </c>
      <c r="X180">
        <v>0.56999999999999995</v>
      </c>
      <c r="Y180">
        <v>0</v>
      </c>
      <c r="Z180">
        <v>22.07</v>
      </c>
      <c r="AA180">
        <v>11.38</v>
      </c>
      <c r="AB180">
        <v>0</v>
      </c>
      <c r="AC180">
        <v>0</v>
      </c>
      <c r="AD180">
        <v>1</v>
      </c>
      <c r="AE180">
        <v>0</v>
      </c>
      <c r="AF180" t="s">
        <v>138</v>
      </c>
      <c r="AG180">
        <v>0.71249999999999991</v>
      </c>
      <c r="AH180">
        <v>2</v>
      </c>
      <c r="AI180">
        <v>42358377</v>
      </c>
      <c r="AJ180">
        <v>177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ROW(Source!A289)</f>
        <v>289</v>
      </c>
      <c r="B181">
        <v>42358386</v>
      </c>
      <c r="C181">
        <v>42358374</v>
      </c>
      <c r="D181">
        <v>26555589</v>
      </c>
      <c r="E181">
        <v>1</v>
      </c>
      <c r="F181">
        <v>1</v>
      </c>
      <c r="G181">
        <v>1</v>
      </c>
      <c r="H181">
        <v>2</v>
      </c>
      <c r="I181" t="s">
        <v>511</v>
      </c>
      <c r="J181" t="s">
        <v>512</v>
      </c>
      <c r="K181" t="s">
        <v>513</v>
      </c>
      <c r="L181">
        <v>26553684</v>
      </c>
      <c r="N181">
        <v>1013</v>
      </c>
      <c r="O181" t="s">
        <v>387</v>
      </c>
      <c r="P181" t="s">
        <v>387</v>
      </c>
      <c r="Q181">
        <v>1</v>
      </c>
      <c r="X181">
        <v>0.56999999999999995</v>
      </c>
      <c r="Y181">
        <v>0</v>
      </c>
      <c r="Z181">
        <v>1.05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138</v>
      </c>
      <c r="AG181">
        <v>0.71249999999999991</v>
      </c>
      <c r="AH181">
        <v>2</v>
      </c>
      <c r="AI181">
        <v>42358378</v>
      </c>
      <c r="AJ181">
        <v>178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ROW(Source!A289)</f>
        <v>289</v>
      </c>
      <c r="B182">
        <v>42358387</v>
      </c>
      <c r="C182">
        <v>42358374</v>
      </c>
      <c r="D182">
        <v>26555822</v>
      </c>
      <c r="E182">
        <v>1</v>
      </c>
      <c r="F182">
        <v>1</v>
      </c>
      <c r="G182">
        <v>1</v>
      </c>
      <c r="H182">
        <v>2</v>
      </c>
      <c r="I182" t="s">
        <v>461</v>
      </c>
      <c r="J182" t="s">
        <v>462</v>
      </c>
      <c r="K182" t="s">
        <v>463</v>
      </c>
      <c r="L182">
        <v>26553684</v>
      </c>
      <c r="N182">
        <v>1013</v>
      </c>
      <c r="O182" t="s">
        <v>387</v>
      </c>
      <c r="P182" t="s">
        <v>387</v>
      </c>
      <c r="Q182">
        <v>1</v>
      </c>
      <c r="X182">
        <v>0.11</v>
      </c>
      <c r="Y182">
        <v>0</v>
      </c>
      <c r="Z182">
        <v>86.55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138</v>
      </c>
      <c r="AG182">
        <v>0.13750000000000001</v>
      </c>
      <c r="AH182">
        <v>2</v>
      </c>
      <c r="AI182">
        <v>42358379</v>
      </c>
      <c r="AJ182">
        <v>179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ROW(Source!A289)</f>
        <v>289</v>
      </c>
      <c r="B183">
        <v>42358388</v>
      </c>
      <c r="C183">
        <v>42358374</v>
      </c>
      <c r="D183">
        <v>26565754</v>
      </c>
      <c r="E183">
        <v>1</v>
      </c>
      <c r="F183">
        <v>1</v>
      </c>
      <c r="G183">
        <v>1</v>
      </c>
      <c r="H183">
        <v>3</v>
      </c>
      <c r="I183" t="s">
        <v>576</v>
      </c>
      <c r="J183" t="s">
        <v>577</v>
      </c>
      <c r="K183" t="s">
        <v>578</v>
      </c>
      <c r="L183">
        <v>1035</v>
      </c>
      <c r="N183">
        <v>1013</v>
      </c>
      <c r="O183" t="s">
        <v>579</v>
      </c>
      <c r="P183" t="s">
        <v>579</v>
      </c>
      <c r="Q183">
        <v>1</v>
      </c>
      <c r="X183">
        <v>120</v>
      </c>
      <c r="Y183">
        <v>0</v>
      </c>
      <c r="Z183">
        <v>0</v>
      </c>
      <c r="AA183">
        <v>0</v>
      </c>
      <c r="AB183">
        <v>0</v>
      </c>
      <c r="AC183">
        <v>1</v>
      </c>
      <c r="AD183">
        <v>0</v>
      </c>
      <c r="AE183">
        <v>0</v>
      </c>
      <c r="AF183" t="s">
        <v>3</v>
      </c>
      <c r="AG183">
        <v>120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ROW(Source!A289)</f>
        <v>289</v>
      </c>
      <c r="B184">
        <v>42358389</v>
      </c>
      <c r="C184">
        <v>42358374</v>
      </c>
      <c r="D184">
        <v>26580923</v>
      </c>
      <c r="E184">
        <v>1</v>
      </c>
      <c r="F184">
        <v>1</v>
      </c>
      <c r="G184">
        <v>1</v>
      </c>
      <c r="H184">
        <v>3</v>
      </c>
      <c r="I184" t="s">
        <v>580</v>
      </c>
      <c r="J184" t="s">
        <v>581</v>
      </c>
      <c r="K184" t="s">
        <v>582</v>
      </c>
      <c r="L184">
        <v>1354</v>
      </c>
      <c r="N184">
        <v>1010</v>
      </c>
      <c r="O184" t="s">
        <v>198</v>
      </c>
      <c r="P184" t="s">
        <v>198</v>
      </c>
      <c r="Q184">
        <v>1</v>
      </c>
      <c r="X184">
        <v>10</v>
      </c>
      <c r="Y184">
        <v>0</v>
      </c>
      <c r="Z184">
        <v>0</v>
      </c>
      <c r="AA184">
        <v>0</v>
      </c>
      <c r="AB184">
        <v>0</v>
      </c>
      <c r="AC184">
        <v>1</v>
      </c>
      <c r="AD184">
        <v>0</v>
      </c>
      <c r="AE184">
        <v>0</v>
      </c>
      <c r="AF184" t="s">
        <v>3</v>
      </c>
      <c r="AG184">
        <v>10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ROW(Source!A293)</f>
        <v>293</v>
      </c>
      <c r="B185">
        <v>42358402</v>
      </c>
      <c r="C185">
        <v>42358393</v>
      </c>
      <c r="D185">
        <v>24243176</v>
      </c>
      <c r="E185">
        <v>1</v>
      </c>
      <c r="F185">
        <v>1</v>
      </c>
      <c r="G185">
        <v>1</v>
      </c>
      <c r="H185">
        <v>1</v>
      </c>
      <c r="I185" t="s">
        <v>545</v>
      </c>
      <c r="J185" t="s">
        <v>3</v>
      </c>
      <c r="K185" t="s">
        <v>546</v>
      </c>
      <c r="L185">
        <v>1476</v>
      </c>
      <c r="N185">
        <v>1013</v>
      </c>
      <c r="O185" t="s">
        <v>380</v>
      </c>
      <c r="P185" t="s">
        <v>381</v>
      </c>
      <c r="Q185">
        <v>1</v>
      </c>
      <c r="X185">
        <v>5.31</v>
      </c>
      <c r="Y185">
        <v>0</v>
      </c>
      <c r="Z185">
        <v>0</v>
      </c>
      <c r="AA185">
        <v>0</v>
      </c>
      <c r="AB185">
        <v>8.66</v>
      </c>
      <c r="AC185">
        <v>0</v>
      </c>
      <c r="AD185">
        <v>1</v>
      </c>
      <c r="AE185">
        <v>1</v>
      </c>
      <c r="AF185" t="s">
        <v>13</v>
      </c>
      <c r="AG185">
        <v>6.1064999999999987</v>
      </c>
      <c r="AH185">
        <v>2</v>
      </c>
      <c r="AI185">
        <v>42358394</v>
      </c>
      <c r="AJ185">
        <v>183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ROW(Source!A293)</f>
        <v>293</v>
      </c>
      <c r="B186">
        <v>42358403</v>
      </c>
      <c r="C186">
        <v>42358393</v>
      </c>
      <c r="D186">
        <v>121548</v>
      </c>
      <c r="E186">
        <v>1</v>
      </c>
      <c r="F186">
        <v>1</v>
      </c>
      <c r="G186">
        <v>1</v>
      </c>
      <c r="H186">
        <v>1</v>
      </c>
      <c r="I186" t="s">
        <v>26</v>
      </c>
      <c r="J186" t="s">
        <v>3</v>
      </c>
      <c r="K186" t="s">
        <v>382</v>
      </c>
      <c r="L186">
        <v>608254</v>
      </c>
      <c r="N186">
        <v>1013</v>
      </c>
      <c r="O186" t="s">
        <v>383</v>
      </c>
      <c r="P186" t="s">
        <v>383</v>
      </c>
      <c r="Q186">
        <v>1</v>
      </c>
      <c r="X186">
        <v>0.01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2</v>
      </c>
      <c r="AF186" t="s">
        <v>12</v>
      </c>
      <c r="AG186">
        <v>1.2500000000000001E-2</v>
      </c>
      <c r="AH186">
        <v>2</v>
      </c>
      <c r="AI186">
        <v>42358395</v>
      </c>
      <c r="AJ186">
        <v>184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ROW(Source!A293)</f>
        <v>293</v>
      </c>
      <c r="B187">
        <v>42358404</v>
      </c>
      <c r="C187">
        <v>42358393</v>
      </c>
      <c r="D187">
        <v>26553886</v>
      </c>
      <c r="E187">
        <v>1</v>
      </c>
      <c r="F187">
        <v>1</v>
      </c>
      <c r="G187">
        <v>1</v>
      </c>
      <c r="H187">
        <v>2</v>
      </c>
      <c r="I187" t="s">
        <v>429</v>
      </c>
      <c r="J187" t="s">
        <v>430</v>
      </c>
      <c r="K187" t="s">
        <v>431</v>
      </c>
      <c r="L187">
        <v>26553684</v>
      </c>
      <c r="N187">
        <v>1013</v>
      </c>
      <c r="O187" t="s">
        <v>387</v>
      </c>
      <c r="P187" t="s">
        <v>387</v>
      </c>
      <c r="Q187">
        <v>1</v>
      </c>
      <c r="X187">
        <v>0.01</v>
      </c>
      <c r="Y187">
        <v>0</v>
      </c>
      <c r="Z187">
        <v>89.81</v>
      </c>
      <c r="AA187">
        <v>9.8800000000000008</v>
      </c>
      <c r="AB187">
        <v>0</v>
      </c>
      <c r="AC187">
        <v>0</v>
      </c>
      <c r="AD187">
        <v>1</v>
      </c>
      <c r="AE187">
        <v>0</v>
      </c>
      <c r="AF187" t="s">
        <v>12</v>
      </c>
      <c r="AG187">
        <v>1.2500000000000001E-2</v>
      </c>
      <c r="AH187">
        <v>2</v>
      </c>
      <c r="AI187">
        <v>42358396</v>
      </c>
      <c r="AJ187">
        <v>185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ROW(Source!A293)</f>
        <v>293</v>
      </c>
      <c r="B188">
        <v>42358405</v>
      </c>
      <c r="C188">
        <v>42358393</v>
      </c>
      <c r="D188">
        <v>26553912</v>
      </c>
      <c r="E188">
        <v>1</v>
      </c>
      <c r="F188">
        <v>1</v>
      </c>
      <c r="G188">
        <v>1</v>
      </c>
      <c r="H188">
        <v>2</v>
      </c>
      <c r="I188" t="s">
        <v>547</v>
      </c>
      <c r="J188" t="s">
        <v>548</v>
      </c>
      <c r="K188" t="s">
        <v>549</v>
      </c>
      <c r="L188">
        <v>26553684</v>
      </c>
      <c r="N188">
        <v>1013</v>
      </c>
      <c r="O188" t="s">
        <v>387</v>
      </c>
      <c r="P188" t="s">
        <v>387</v>
      </c>
      <c r="Q188">
        <v>1</v>
      </c>
      <c r="X188">
        <v>0.01</v>
      </c>
      <c r="Y188">
        <v>0</v>
      </c>
      <c r="Z188">
        <v>1.7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12</v>
      </c>
      <c r="AG188">
        <v>1.2500000000000001E-2</v>
      </c>
      <c r="AH188">
        <v>2</v>
      </c>
      <c r="AI188">
        <v>42358397</v>
      </c>
      <c r="AJ188">
        <v>186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ROW(Source!A293)</f>
        <v>293</v>
      </c>
      <c r="B189">
        <v>42358406</v>
      </c>
      <c r="C189">
        <v>42358393</v>
      </c>
      <c r="D189">
        <v>26555573</v>
      </c>
      <c r="E189">
        <v>1</v>
      </c>
      <c r="F189">
        <v>1</v>
      </c>
      <c r="G189">
        <v>1</v>
      </c>
      <c r="H189">
        <v>2</v>
      </c>
      <c r="I189" t="s">
        <v>550</v>
      </c>
      <c r="J189" t="s">
        <v>551</v>
      </c>
      <c r="K189" t="s">
        <v>552</v>
      </c>
      <c r="L189">
        <v>26553684</v>
      </c>
      <c r="N189">
        <v>1013</v>
      </c>
      <c r="O189" t="s">
        <v>387</v>
      </c>
      <c r="P189" t="s">
        <v>387</v>
      </c>
      <c r="Q189">
        <v>1</v>
      </c>
      <c r="X189">
        <v>1.1200000000000001</v>
      </c>
      <c r="Y189">
        <v>0</v>
      </c>
      <c r="Z189">
        <v>6.82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12</v>
      </c>
      <c r="AG189">
        <v>1.4000000000000001</v>
      </c>
      <c r="AH189">
        <v>2</v>
      </c>
      <c r="AI189">
        <v>42358398</v>
      </c>
      <c r="AJ189">
        <v>187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ROW(Source!A293)</f>
        <v>293</v>
      </c>
      <c r="B190">
        <v>42358407</v>
      </c>
      <c r="C190">
        <v>42358393</v>
      </c>
      <c r="D190">
        <v>26555822</v>
      </c>
      <c r="E190">
        <v>1</v>
      </c>
      <c r="F190">
        <v>1</v>
      </c>
      <c r="G190">
        <v>1</v>
      </c>
      <c r="H190">
        <v>2</v>
      </c>
      <c r="I190" t="s">
        <v>461</v>
      </c>
      <c r="J190" t="s">
        <v>462</v>
      </c>
      <c r="K190" t="s">
        <v>463</v>
      </c>
      <c r="L190">
        <v>26553684</v>
      </c>
      <c r="N190">
        <v>1013</v>
      </c>
      <c r="O190" t="s">
        <v>387</v>
      </c>
      <c r="P190" t="s">
        <v>387</v>
      </c>
      <c r="Q190">
        <v>1</v>
      </c>
      <c r="X190">
        <v>0.01</v>
      </c>
      <c r="Y190">
        <v>0</v>
      </c>
      <c r="Z190">
        <v>86.55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12</v>
      </c>
      <c r="AG190">
        <v>1.2500000000000001E-2</v>
      </c>
      <c r="AH190">
        <v>2</v>
      </c>
      <c r="AI190">
        <v>42358399</v>
      </c>
      <c r="AJ190">
        <v>188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ROW(Source!A293)</f>
        <v>293</v>
      </c>
      <c r="B191">
        <v>42358408</v>
      </c>
      <c r="C191">
        <v>42358393</v>
      </c>
      <c r="D191">
        <v>26573222</v>
      </c>
      <c r="E191">
        <v>1</v>
      </c>
      <c r="F191">
        <v>1</v>
      </c>
      <c r="G191">
        <v>1</v>
      </c>
      <c r="H191">
        <v>3</v>
      </c>
      <c r="I191" t="s">
        <v>553</v>
      </c>
      <c r="J191" t="s">
        <v>554</v>
      </c>
      <c r="K191" t="s">
        <v>555</v>
      </c>
      <c r="L191">
        <v>1348</v>
      </c>
      <c r="N191">
        <v>1009</v>
      </c>
      <c r="O191" t="s">
        <v>169</v>
      </c>
      <c r="P191" t="s">
        <v>169</v>
      </c>
      <c r="Q191">
        <v>1000</v>
      </c>
      <c r="X191">
        <v>1.2E-2</v>
      </c>
      <c r="Y191">
        <v>14566.41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1.2E-2</v>
      </c>
      <c r="AH191">
        <v>2</v>
      </c>
      <c r="AI191">
        <v>42358400</v>
      </c>
      <c r="AJ191">
        <v>189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ROW(Source!A293)</f>
        <v>293</v>
      </c>
      <c r="B192">
        <v>42358409</v>
      </c>
      <c r="C192">
        <v>42358393</v>
      </c>
      <c r="D192">
        <v>26573279</v>
      </c>
      <c r="E192">
        <v>1</v>
      </c>
      <c r="F192">
        <v>1</v>
      </c>
      <c r="G192">
        <v>1</v>
      </c>
      <c r="H192">
        <v>3</v>
      </c>
      <c r="I192" t="s">
        <v>556</v>
      </c>
      <c r="J192" t="s">
        <v>557</v>
      </c>
      <c r="K192" t="s">
        <v>558</v>
      </c>
      <c r="L192">
        <v>1348</v>
      </c>
      <c r="N192">
        <v>1009</v>
      </c>
      <c r="O192" t="s">
        <v>169</v>
      </c>
      <c r="P192" t="s">
        <v>169</v>
      </c>
      <c r="Q192">
        <v>1000</v>
      </c>
      <c r="X192">
        <v>2E-3</v>
      </c>
      <c r="Y192">
        <v>7123.57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2E-3</v>
      </c>
      <c r="AH192">
        <v>2</v>
      </c>
      <c r="AI192">
        <v>42358401</v>
      </c>
      <c r="AJ192">
        <v>190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ROW(Source!A294)</f>
        <v>294</v>
      </c>
      <c r="B193">
        <v>42358419</v>
      </c>
      <c r="C193">
        <v>42358410</v>
      </c>
      <c r="D193">
        <v>24225460</v>
      </c>
      <c r="E193">
        <v>1</v>
      </c>
      <c r="F193">
        <v>1</v>
      </c>
      <c r="G193">
        <v>1</v>
      </c>
      <c r="H193">
        <v>1</v>
      </c>
      <c r="I193" t="s">
        <v>559</v>
      </c>
      <c r="J193" t="s">
        <v>3</v>
      </c>
      <c r="K193" t="s">
        <v>560</v>
      </c>
      <c r="L193">
        <v>1476</v>
      </c>
      <c r="N193">
        <v>1013</v>
      </c>
      <c r="O193" t="s">
        <v>380</v>
      </c>
      <c r="P193" t="s">
        <v>381</v>
      </c>
      <c r="Q193">
        <v>1</v>
      </c>
      <c r="X193">
        <v>3.83</v>
      </c>
      <c r="Y193">
        <v>0</v>
      </c>
      <c r="Z193">
        <v>0</v>
      </c>
      <c r="AA193">
        <v>0</v>
      </c>
      <c r="AB193">
        <v>7.38</v>
      </c>
      <c r="AC193">
        <v>0</v>
      </c>
      <c r="AD193">
        <v>1</v>
      </c>
      <c r="AE193">
        <v>1</v>
      </c>
      <c r="AF193" t="s">
        <v>13</v>
      </c>
      <c r="AG193">
        <v>4.4044999999999996</v>
      </c>
      <c r="AH193">
        <v>2</v>
      </c>
      <c r="AI193">
        <v>42358411</v>
      </c>
      <c r="AJ193">
        <v>191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ROW(Source!A294)</f>
        <v>294</v>
      </c>
      <c r="B194">
        <v>42358420</v>
      </c>
      <c r="C194">
        <v>42358410</v>
      </c>
      <c r="D194">
        <v>121548</v>
      </c>
      <c r="E194">
        <v>1</v>
      </c>
      <c r="F194">
        <v>1</v>
      </c>
      <c r="G194">
        <v>1</v>
      </c>
      <c r="H194">
        <v>1</v>
      </c>
      <c r="I194" t="s">
        <v>26</v>
      </c>
      <c r="J194" t="s">
        <v>3</v>
      </c>
      <c r="K194" t="s">
        <v>382</v>
      </c>
      <c r="L194">
        <v>608254</v>
      </c>
      <c r="N194">
        <v>1013</v>
      </c>
      <c r="O194" t="s">
        <v>383</v>
      </c>
      <c r="P194" t="s">
        <v>383</v>
      </c>
      <c r="Q194">
        <v>1</v>
      </c>
      <c r="X194">
        <v>0.01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2</v>
      </c>
      <c r="AF194" t="s">
        <v>12</v>
      </c>
      <c r="AG194">
        <v>1.2500000000000001E-2</v>
      </c>
      <c r="AH194">
        <v>2</v>
      </c>
      <c r="AI194">
        <v>42358412</v>
      </c>
      <c r="AJ194">
        <v>192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ROW(Source!A294)</f>
        <v>294</v>
      </c>
      <c r="B195">
        <v>42358421</v>
      </c>
      <c r="C195">
        <v>42358410</v>
      </c>
      <c r="D195">
        <v>26553886</v>
      </c>
      <c r="E195">
        <v>1</v>
      </c>
      <c r="F195">
        <v>1</v>
      </c>
      <c r="G195">
        <v>1</v>
      </c>
      <c r="H195">
        <v>2</v>
      </c>
      <c r="I195" t="s">
        <v>429</v>
      </c>
      <c r="J195" t="s">
        <v>430</v>
      </c>
      <c r="K195" t="s">
        <v>431</v>
      </c>
      <c r="L195">
        <v>26553684</v>
      </c>
      <c r="N195">
        <v>1013</v>
      </c>
      <c r="O195" t="s">
        <v>387</v>
      </c>
      <c r="P195" t="s">
        <v>387</v>
      </c>
      <c r="Q195">
        <v>1</v>
      </c>
      <c r="X195">
        <v>0.01</v>
      </c>
      <c r="Y195">
        <v>0</v>
      </c>
      <c r="Z195">
        <v>89.81</v>
      </c>
      <c r="AA195">
        <v>9.8800000000000008</v>
      </c>
      <c r="AB195">
        <v>0</v>
      </c>
      <c r="AC195">
        <v>0</v>
      </c>
      <c r="AD195">
        <v>1</v>
      </c>
      <c r="AE195">
        <v>0</v>
      </c>
      <c r="AF195" t="s">
        <v>12</v>
      </c>
      <c r="AG195">
        <v>1.2500000000000001E-2</v>
      </c>
      <c r="AH195">
        <v>2</v>
      </c>
      <c r="AI195">
        <v>42358413</v>
      </c>
      <c r="AJ195">
        <v>193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ROW(Source!A294)</f>
        <v>294</v>
      </c>
      <c r="B196">
        <v>42358422</v>
      </c>
      <c r="C196">
        <v>42358410</v>
      </c>
      <c r="D196">
        <v>26553912</v>
      </c>
      <c r="E196">
        <v>1</v>
      </c>
      <c r="F196">
        <v>1</v>
      </c>
      <c r="G196">
        <v>1</v>
      </c>
      <c r="H196">
        <v>2</v>
      </c>
      <c r="I196" t="s">
        <v>547</v>
      </c>
      <c r="J196" t="s">
        <v>548</v>
      </c>
      <c r="K196" t="s">
        <v>549</v>
      </c>
      <c r="L196">
        <v>26553684</v>
      </c>
      <c r="N196">
        <v>1013</v>
      </c>
      <c r="O196" t="s">
        <v>387</v>
      </c>
      <c r="P196" t="s">
        <v>387</v>
      </c>
      <c r="Q196">
        <v>1</v>
      </c>
      <c r="X196">
        <v>0.01</v>
      </c>
      <c r="Y196">
        <v>0</v>
      </c>
      <c r="Z196">
        <v>1.7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12</v>
      </c>
      <c r="AG196">
        <v>1.2500000000000001E-2</v>
      </c>
      <c r="AH196">
        <v>2</v>
      </c>
      <c r="AI196">
        <v>42358414</v>
      </c>
      <c r="AJ196">
        <v>194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ROW(Source!A294)</f>
        <v>294</v>
      </c>
      <c r="B197">
        <v>42358423</v>
      </c>
      <c r="C197">
        <v>42358410</v>
      </c>
      <c r="D197">
        <v>26555573</v>
      </c>
      <c r="E197">
        <v>1</v>
      </c>
      <c r="F197">
        <v>1</v>
      </c>
      <c r="G197">
        <v>1</v>
      </c>
      <c r="H197">
        <v>2</v>
      </c>
      <c r="I197" t="s">
        <v>550</v>
      </c>
      <c r="J197" t="s">
        <v>551</v>
      </c>
      <c r="K197" t="s">
        <v>552</v>
      </c>
      <c r="L197">
        <v>26553684</v>
      </c>
      <c r="N197">
        <v>1013</v>
      </c>
      <c r="O197" t="s">
        <v>387</v>
      </c>
      <c r="P197" t="s">
        <v>387</v>
      </c>
      <c r="Q197">
        <v>1</v>
      </c>
      <c r="X197">
        <v>0.65</v>
      </c>
      <c r="Y197">
        <v>0</v>
      </c>
      <c r="Z197">
        <v>6.82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12</v>
      </c>
      <c r="AG197">
        <v>0.8125</v>
      </c>
      <c r="AH197">
        <v>2</v>
      </c>
      <c r="AI197">
        <v>42358415</v>
      </c>
      <c r="AJ197">
        <v>195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ROW(Source!A294)</f>
        <v>294</v>
      </c>
      <c r="B198">
        <v>42358424</v>
      </c>
      <c r="C198">
        <v>42358410</v>
      </c>
      <c r="D198">
        <v>26555822</v>
      </c>
      <c r="E198">
        <v>1</v>
      </c>
      <c r="F198">
        <v>1</v>
      </c>
      <c r="G198">
        <v>1</v>
      </c>
      <c r="H198">
        <v>2</v>
      </c>
      <c r="I198" t="s">
        <v>461</v>
      </c>
      <c r="J198" t="s">
        <v>462</v>
      </c>
      <c r="K198" t="s">
        <v>463</v>
      </c>
      <c r="L198">
        <v>26553684</v>
      </c>
      <c r="N198">
        <v>1013</v>
      </c>
      <c r="O198" t="s">
        <v>387</v>
      </c>
      <c r="P198" t="s">
        <v>387</v>
      </c>
      <c r="Q198">
        <v>1</v>
      </c>
      <c r="X198">
        <v>0.01</v>
      </c>
      <c r="Y198">
        <v>0</v>
      </c>
      <c r="Z198">
        <v>86.55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12</v>
      </c>
      <c r="AG198">
        <v>1.2500000000000001E-2</v>
      </c>
      <c r="AH198">
        <v>2</v>
      </c>
      <c r="AI198">
        <v>42358416</v>
      </c>
      <c r="AJ198">
        <v>196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ROW(Source!A294)</f>
        <v>294</v>
      </c>
      <c r="B199">
        <v>42358425</v>
      </c>
      <c r="C199">
        <v>42358410</v>
      </c>
      <c r="D199">
        <v>26558216</v>
      </c>
      <c r="E199">
        <v>1</v>
      </c>
      <c r="F199">
        <v>1</v>
      </c>
      <c r="G199">
        <v>1</v>
      </c>
      <c r="H199">
        <v>3</v>
      </c>
      <c r="I199" t="s">
        <v>561</v>
      </c>
      <c r="J199" t="s">
        <v>562</v>
      </c>
      <c r="K199" t="s">
        <v>563</v>
      </c>
      <c r="L199">
        <v>1348</v>
      </c>
      <c r="N199">
        <v>1009</v>
      </c>
      <c r="O199" t="s">
        <v>169</v>
      </c>
      <c r="P199" t="s">
        <v>169</v>
      </c>
      <c r="Q199">
        <v>1000</v>
      </c>
      <c r="X199">
        <v>1.4E-3</v>
      </c>
      <c r="Y199">
        <v>6179.8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1.4E-3</v>
      </c>
      <c r="AH199">
        <v>2</v>
      </c>
      <c r="AI199">
        <v>42358417</v>
      </c>
      <c r="AJ199">
        <v>197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ROW(Source!A294)</f>
        <v>294</v>
      </c>
      <c r="B200">
        <v>42358426</v>
      </c>
      <c r="C200">
        <v>42358410</v>
      </c>
      <c r="D200">
        <v>26573459</v>
      </c>
      <c r="E200">
        <v>1</v>
      </c>
      <c r="F200">
        <v>1</v>
      </c>
      <c r="G200">
        <v>1</v>
      </c>
      <c r="H200">
        <v>3</v>
      </c>
      <c r="I200" t="s">
        <v>564</v>
      </c>
      <c r="J200" t="s">
        <v>565</v>
      </c>
      <c r="K200" t="s">
        <v>566</v>
      </c>
      <c r="L200">
        <v>1348</v>
      </c>
      <c r="N200">
        <v>1009</v>
      </c>
      <c r="O200" t="s">
        <v>169</v>
      </c>
      <c r="P200" t="s">
        <v>169</v>
      </c>
      <c r="Q200">
        <v>1000</v>
      </c>
      <c r="X200">
        <v>1.9E-2</v>
      </c>
      <c r="Y200">
        <v>14117.37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1.9E-2</v>
      </c>
      <c r="AH200">
        <v>2</v>
      </c>
      <c r="AI200">
        <v>42358418</v>
      </c>
      <c r="AJ200">
        <v>198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Смета 11 граф c НР и СП</vt:lpstr>
      <vt:lpstr>Дефектная ведомость</vt:lpstr>
      <vt:lpstr>Source</vt:lpstr>
      <vt:lpstr>SourceObSm</vt:lpstr>
      <vt:lpstr>SmtRes</vt:lpstr>
      <vt:lpstr>EtalonRes</vt:lpstr>
      <vt:lpstr>'Дефектная ведомость'!Заголовки_для_печати</vt:lpstr>
      <vt:lpstr>'Смета 11 граф c НР и СП'!Заголовки_для_печати</vt:lpstr>
      <vt:lpstr>'Дефектная ведомость'!Область_печати</vt:lpstr>
      <vt:lpstr>'Смета 11 граф c НР и СП'!Область_печати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Попова Елена Михайловна</cp:lastModifiedBy>
  <cp:lastPrinted>2020-11-13T10:01:19Z</cp:lastPrinted>
  <dcterms:created xsi:type="dcterms:W3CDTF">2020-10-30T04:51:59Z</dcterms:created>
  <dcterms:modified xsi:type="dcterms:W3CDTF">2020-11-13T10:17:04Z</dcterms:modified>
</cp:coreProperties>
</file>