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меты 2020\2019 м\Дуникова\2021\последний варинт 30.10.2020\после исправления\"/>
    </mc:Choice>
  </mc:AlternateContent>
  <xr:revisionPtr revIDLastSave="0" documentId="13_ncr:1_{6A926221-EAE9-4974-960B-F354C39B35A5}" xr6:coauthVersionLast="37" xr6:coauthVersionMax="37" xr10:uidLastSave="{00000000-0000-0000-0000-000000000000}"/>
  <bookViews>
    <workbookView xWindow="32760" yWindow="32760" windowWidth="32760" windowHeight="32760" xr2:uid="{00000000-000D-0000-FFFF-FFFF00000000}"/>
  </bookViews>
  <sheets>
    <sheet name="Смета 11 граф c НР и СП" sheetId="5" r:id="rId1"/>
    <sheet name="Ведомость объемов работ" sheetId="6" r:id="rId2"/>
    <sheet name="Source" sheetId="1" r:id="rId3"/>
    <sheet name="SourceObSm" sheetId="2" r:id="rId4"/>
    <sheet name="SmtRes" sheetId="3" r:id="rId5"/>
    <sheet name="EtalonRes" sheetId="4" r:id="rId6"/>
  </sheets>
  <definedNames>
    <definedName name="_xlnm.Print_Titles" localSheetId="1">'Ведомость объемов работ'!$14:$14</definedName>
    <definedName name="_xlnm.Print_Titles" localSheetId="0">'Смета 11 граф c НР и СП'!$21:$21</definedName>
    <definedName name="_xlnm.Print_Area" localSheetId="1">'Ведомость объемов работ'!$A$1:$E$102</definedName>
    <definedName name="_xlnm.Print_Area" localSheetId="0">'Смета 11 граф c НР и СП'!$A$1:$K$596</definedName>
  </definedNames>
  <calcPr calcId="179021"/>
</workbook>
</file>

<file path=xl/calcChain.xml><?xml version="1.0" encoding="utf-8"?>
<calcChain xmlns="http://schemas.openxmlformats.org/spreadsheetml/2006/main">
  <c r="A11" i="6" l="1"/>
  <c r="C497" i="5" l="1"/>
  <c r="C486" i="5"/>
  <c r="D97" i="6" l="1"/>
  <c r="C97" i="6"/>
  <c r="B97" i="6"/>
  <c r="A97" i="6"/>
  <c r="D96" i="6"/>
  <c r="C96" i="6"/>
  <c r="B96" i="6"/>
  <c r="A96" i="6"/>
  <c r="D95" i="6"/>
  <c r="C95" i="6"/>
  <c r="B95" i="6"/>
  <c r="D94" i="6"/>
  <c r="C94" i="6"/>
  <c r="B94" i="6"/>
  <c r="D93" i="6"/>
  <c r="C93" i="6"/>
  <c r="B93" i="6"/>
  <c r="A93" i="6"/>
  <c r="D92" i="6"/>
  <c r="C92" i="6"/>
  <c r="B92" i="6"/>
  <c r="A92" i="6"/>
  <c r="D91" i="6"/>
  <c r="C91" i="6"/>
  <c r="B91" i="6"/>
  <c r="D90" i="6"/>
  <c r="C90" i="6"/>
  <c r="B90" i="6"/>
  <c r="D89" i="6"/>
  <c r="C89" i="6"/>
  <c r="B89" i="6"/>
  <c r="A89" i="6"/>
  <c r="D88" i="6"/>
  <c r="C88" i="6"/>
  <c r="B88" i="6"/>
  <c r="A88" i="6"/>
  <c r="D87" i="6"/>
  <c r="C87" i="6"/>
  <c r="B87" i="6"/>
  <c r="A87" i="6"/>
  <c r="C86" i="6"/>
  <c r="B86" i="6"/>
  <c r="A86" i="6"/>
  <c r="C85" i="6"/>
  <c r="B85" i="6"/>
  <c r="A85" i="6"/>
  <c r="D84" i="6"/>
  <c r="C84" i="6"/>
  <c r="B84" i="6"/>
  <c r="A84" i="6"/>
  <c r="A83" i="6"/>
  <c r="D82" i="6"/>
  <c r="C82" i="6"/>
  <c r="B82" i="6"/>
  <c r="A82" i="6"/>
  <c r="D81" i="6"/>
  <c r="C81" i="6"/>
  <c r="B81" i="6"/>
  <c r="A81" i="6"/>
  <c r="D80" i="6"/>
  <c r="C80" i="6"/>
  <c r="B80" i="6"/>
  <c r="A80" i="6"/>
  <c r="D79" i="6"/>
  <c r="C79" i="6"/>
  <c r="B79" i="6"/>
  <c r="A79" i="6"/>
  <c r="A78" i="6"/>
  <c r="D77" i="6"/>
  <c r="C77" i="6"/>
  <c r="B77" i="6"/>
  <c r="A77" i="6"/>
  <c r="D76" i="6"/>
  <c r="C76" i="6"/>
  <c r="B76" i="6"/>
  <c r="A76" i="6"/>
  <c r="D75" i="6"/>
  <c r="C75" i="6"/>
  <c r="B75" i="6"/>
  <c r="A75" i="6"/>
  <c r="D74" i="6"/>
  <c r="C74" i="6"/>
  <c r="B74" i="6"/>
  <c r="A74" i="6"/>
  <c r="A73" i="6"/>
  <c r="D72" i="6"/>
  <c r="C72" i="6"/>
  <c r="B72" i="6"/>
  <c r="D71" i="6"/>
  <c r="C71" i="6"/>
  <c r="B71" i="6"/>
  <c r="A71" i="6"/>
  <c r="D70" i="6"/>
  <c r="C70" i="6"/>
  <c r="B70" i="6"/>
  <c r="D69" i="6"/>
  <c r="C69" i="6"/>
  <c r="B69" i="6"/>
  <c r="A69" i="6"/>
  <c r="D68" i="6"/>
  <c r="C68" i="6"/>
  <c r="B68" i="6"/>
  <c r="D67" i="6"/>
  <c r="C67" i="6"/>
  <c r="B67" i="6"/>
  <c r="A67" i="6"/>
  <c r="D66" i="6"/>
  <c r="C66" i="6"/>
  <c r="B66" i="6"/>
  <c r="D65" i="6"/>
  <c r="C65" i="6"/>
  <c r="B65" i="6"/>
  <c r="A65" i="6"/>
  <c r="A64" i="6"/>
  <c r="D63" i="6"/>
  <c r="C63" i="6"/>
  <c r="B63" i="6"/>
  <c r="A63" i="6"/>
  <c r="D62" i="6"/>
  <c r="C62" i="6"/>
  <c r="B62" i="6"/>
  <c r="A62" i="6"/>
  <c r="D61" i="6"/>
  <c r="C61" i="6"/>
  <c r="B61" i="6"/>
  <c r="A61" i="6"/>
  <c r="D60" i="6"/>
  <c r="C60" i="6"/>
  <c r="B60" i="6"/>
  <c r="D59" i="6"/>
  <c r="C59" i="6"/>
  <c r="B59" i="6"/>
  <c r="D58" i="6"/>
  <c r="C58" i="6"/>
  <c r="B58" i="6"/>
  <c r="D57" i="6"/>
  <c r="C57" i="6"/>
  <c r="B57" i="6"/>
  <c r="A57" i="6"/>
  <c r="D56" i="6"/>
  <c r="C56" i="6"/>
  <c r="B56" i="6"/>
  <c r="A56" i="6"/>
  <c r="D55" i="6"/>
  <c r="C55" i="6"/>
  <c r="B55" i="6"/>
  <c r="A55" i="6"/>
  <c r="D54" i="6"/>
  <c r="C54" i="6"/>
  <c r="B54" i="6"/>
  <c r="A54" i="6"/>
  <c r="A53" i="6"/>
  <c r="D52" i="6"/>
  <c r="C52" i="6"/>
  <c r="B52" i="6"/>
  <c r="A52" i="6"/>
  <c r="D51" i="6"/>
  <c r="C51" i="6"/>
  <c r="B51" i="6"/>
  <c r="A51" i="6"/>
  <c r="D50" i="6"/>
  <c r="C50" i="6"/>
  <c r="B50" i="6"/>
  <c r="A50" i="6"/>
  <c r="D49" i="6"/>
  <c r="C49" i="6"/>
  <c r="B49" i="6"/>
  <c r="D48" i="6"/>
  <c r="C48" i="6"/>
  <c r="B48" i="6"/>
  <c r="A48" i="6"/>
  <c r="D47" i="6"/>
  <c r="C47" i="6"/>
  <c r="B47" i="6"/>
  <c r="D46" i="6"/>
  <c r="C46" i="6"/>
  <c r="B46" i="6"/>
  <c r="A46" i="6"/>
  <c r="D45" i="6"/>
  <c r="C45" i="6"/>
  <c r="B45" i="6"/>
  <c r="A45" i="6"/>
  <c r="A44" i="6"/>
  <c r="D43" i="6"/>
  <c r="C43" i="6"/>
  <c r="B43" i="6"/>
  <c r="D42" i="6"/>
  <c r="C42" i="6"/>
  <c r="B42" i="6"/>
  <c r="A42" i="6"/>
  <c r="D41" i="6"/>
  <c r="C41" i="6"/>
  <c r="B41" i="6"/>
  <c r="D40" i="6"/>
  <c r="C40" i="6"/>
  <c r="B40" i="6"/>
  <c r="A40" i="6"/>
  <c r="D39" i="6"/>
  <c r="C39" i="6"/>
  <c r="B39" i="6"/>
  <c r="A39" i="6"/>
  <c r="D38" i="6"/>
  <c r="C38" i="6"/>
  <c r="B38" i="6"/>
  <c r="A38" i="6"/>
  <c r="D37" i="6"/>
  <c r="C37" i="6"/>
  <c r="B37" i="6"/>
  <c r="A37" i="6"/>
  <c r="D36" i="6"/>
  <c r="C36" i="6"/>
  <c r="B36" i="6"/>
  <c r="A36" i="6"/>
  <c r="D35" i="6"/>
  <c r="C35" i="6"/>
  <c r="B35" i="6"/>
  <c r="A35" i="6"/>
  <c r="D34" i="6"/>
  <c r="C34" i="6"/>
  <c r="B34" i="6"/>
  <c r="A34" i="6"/>
  <c r="D33" i="6"/>
  <c r="C33" i="6"/>
  <c r="B33" i="6"/>
  <c r="A33" i="6"/>
  <c r="D32" i="6"/>
  <c r="C32" i="6"/>
  <c r="B32" i="6"/>
  <c r="A32" i="6"/>
  <c r="D31" i="6"/>
  <c r="C31" i="6"/>
  <c r="B31" i="6"/>
  <c r="A31" i="6"/>
  <c r="A30" i="6"/>
  <c r="A29" i="6"/>
  <c r="D28" i="6"/>
  <c r="C28" i="6"/>
  <c r="B28" i="6"/>
  <c r="A28" i="6"/>
  <c r="D27" i="6"/>
  <c r="C27" i="6"/>
  <c r="B27" i="6"/>
  <c r="A27" i="6"/>
  <c r="D26" i="6"/>
  <c r="C26" i="6"/>
  <c r="B26" i="6"/>
  <c r="A26" i="6"/>
  <c r="D25" i="6"/>
  <c r="C25" i="6"/>
  <c r="B25" i="6"/>
  <c r="A25" i="6"/>
  <c r="D24" i="6"/>
  <c r="C24" i="6"/>
  <c r="B24" i="6"/>
  <c r="A24" i="6"/>
  <c r="D23" i="6"/>
  <c r="C23" i="6"/>
  <c r="B23" i="6"/>
  <c r="A23" i="6"/>
  <c r="D22" i="6"/>
  <c r="C22" i="6"/>
  <c r="B22" i="6"/>
  <c r="A22" i="6"/>
  <c r="D21" i="6"/>
  <c r="C21" i="6"/>
  <c r="B21" i="6"/>
  <c r="A21" i="6"/>
  <c r="D20" i="6"/>
  <c r="C20" i="6"/>
  <c r="B20" i="6"/>
  <c r="A20" i="6"/>
  <c r="D19" i="6"/>
  <c r="C19" i="6"/>
  <c r="B19" i="6"/>
  <c r="A19" i="6"/>
  <c r="D18" i="6"/>
  <c r="C18" i="6"/>
  <c r="B18" i="6"/>
  <c r="A18" i="6"/>
  <c r="D17" i="6"/>
  <c r="C17" i="6"/>
  <c r="B17" i="6"/>
  <c r="A17" i="6"/>
  <c r="A16" i="6"/>
  <c r="A15" i="6"/>
  <c r="AD11" i="6"/>
  <c r="A10" i="6"/>
  <c r="A1" i="6"/>
  <c r="I594" i="5"/>
  <c r="I591" i="5"/>
  <c r="C594" i="5"/>
  <c r="C591" i="5"/>
  <c r="H587" i="5"/>
  <c r="C587" i="5"/>
  <c r="H586" i="5"/>
  <c r="C586" i="5"/>
  <c r="H585" i="5"/>
  <c r="C585" i="5"/>
  <c r="C584" i="5"/>
  <c r="C583" i="5"/>
  <c r="C582" i="5"/>
  <c r="C581" i="5"/>
  <c r="C580" i="5"/>
  <c r="C576" i="5"/>
  <c r="AG571" i="5"/>
  <c r="C571" i="5"/>
  <c r="G569" i="5"/>
  <c r="E569" i="5"/>
  <c r="H568" i="5"/>
  <c r="G568" i="5"/>
  <c r="F568" i="5"/>
  <c r="E568" i="5"/>
  <c r="D568" i="5"/>
  <c r="H567" i="5"/>
  <c r="G567" i="5"/>
  <c r="E567" i="5"/>
  <c r="D567" i="5"/>
  <c r="C561" i="5"/>
  <c r="AB559" i="5"/>
  <c r="AA559" i="5"/>
  <c r="Z559" i="5"/>
  <c r="Y559" i="5"/>
  <c r="X559" i="5"/>
  <c r="W559" i="5"/>
  <c r="V559" i="5"/>
  <c r="U559" i="5"/>
  <c r="T559" i="5"/>
  <c r="K560" i="5"/>
  <c r="K559" i="5"/>
  <c r="J560" i="5"/>
  <c r="J559" i="5"/>
  <c r="I560" i="5"/>
  <c r="I559" i="5"/>
  <c r="H559" i="5"/>
  <c r="G559" i="5"/>
  <c r="F560" i="5"/>
  <c r="F559" i="5"/>
  <c r="E560" i="5"/>
  <c r="E559" i="5"/>
  <c r="D559" i="5"/>
  <c r="C560" i="5"/>
  <c r="C559" i="5"/>
  <c r="B559" i="5"/>
  <c r="A559" i="5"/>
  <c r="G558" i="5"/>
  <c r="E558" i="5"/>
  <c r="H557" i="5"/>
  <c r="G557" i="5"/>
  <c r="F557" i="5"/>
  <c r="E557" i="5"/>
  <c r="D557" i="5"/>
  <c r="H556" i="5"/>
  <c r="G556" i="5"/>
  <c r="E556" i="5"/>
  <c r="D556" i="5"/>
  <c r="C550" i="5"/>
  <c r="AB548" i="5"/>
  <c r="AA548" i="5"/>
  <c r="Z548" i="5"/>
  <c r="Y548" i="5"/>
  <c r="X548" i="5"/>
  <c r="W548" i="5"/>
  <c r="V548" i="5"/>
  <c r="U548" i="5"/>
  <c r="T548" i="5"/>
  <c r="K549" i="5"/>
  <c r="K548" i="5"/>
  <c r="J549" i="5"/>
  <c r="J548" i="5"/>
  <c r="I549" i="5"/>
  <c r="I548" i="5"/>
  <c r="H548" i="5"/>
  <c r="G548" i="5"/>
  <c r="F549" i="5"/>
  <c r="F548" i="5"/>
  <c r="E549" i="5"/>
  <c r="E548" i="5"/>
  <c r="D548" i="5"/>
  <c r="C549" i="5"/>
  <c r="C548" i="5"/>
  <c r="B548" i="5"/>
  <c r="A548" i="5"/>
  <c r="AB546" i="5"/>
  <c r="AA546" i="5"/>
  <c r="Z546" i="5"/>
  <c r="Y546" i="5"/>
  <c r="X546" i="5"/>
  <c r="W546" i="5"/>
  <c r="V546" i="5"/>
  <c r="U546" i="5"/>
  <c r="T546" i="5"/>
  <c r="K547" i="5"/>
  <c r="K546" i="5"/>
  <c r="J547" i="5"/>
  <c r="J546" i="5"/>
  <c r="I547" i="5"/>
  <c r="I546" i="5"/>
  <c r="H546" i="5"/>
  <c r="G546" i="5"/>
  <c r="F547" i="5"/>
  <c r="F546" i="5"/>
  <c r="E547" i="5"/>
  <c r="E546" i="5"/>
  <c r="D546" i="5"/>
  <c r="C547" i="5"/>
  <c r="C546" i="5"/>
  <c r="B546" i="5"/>
  <c r="A546" i="5"/>
  <c r="AB544" i="5"/>
  <c r="AA544" i="5"/>
  <c r="Z544" i="5"/>
  <c r="Y544" i="5"/>
  <c r="X544" i="5"/>
  <c r="W544" i="5"/>
  <c r="V544" i="5"/>
  <c r="U544" i="5"/>
  <c r="T544" i="5"/>
  <c r="K545" i="5"/>
  <c r="K544" i="5"/>
  <c r="J545" i="5"/>
  <c r="J544" i="5"/>
  <c r="I545" i="5"/>
  <c r="I544" i="5"/>
  <c r="H544" i="5"/>
  <c r="G544" i="5"/>
  <c r="F545" i="5"/>
  <c r="F544" i="5"/>
  <c r="E545" i="5"/>
  <c r="E544" i="5"/>
  <c r="D544" i="5"/>
  <c r="C545" i="5"/>
  <c r="C544" i="5"/>
  <c r="B544" i="5"/>
  <c r="A544" i="5"/>
  <c r="AB542" i="5"/>
  <c r="AA542" i="5"/>
  <c r="Z542" i="5"/>
  <c r="Y542" i="5"/>
  <c r="X542" i="5"/>
  <c r="W542" i="5"/>
  <c r="V542" i="5"/>
  <c r="U542" i="5"/>
  <c r="T542" i="5"/>
  <c r="K543" i="5"/>
  <c r="K542" i="5"/>
  <c r="J543" i="5"/>
  <c r="J542" i="5"/>
  <c r="I543" i="5"/>
  <c r="I542" i="5"/>
  <c r="H542" i="5"/>
  <c r="G542" i="5"/>
  <c r="F543" i="5"/>
  <c r="F542" i="5"/>
  <c r="E543" i="5"/>
  <c r="E542" i="5"/>
  <c r="D542" i="5"/>
  <c r="C543" i="5"/>
  <c r="C542" i="5"/>
  <c r="B542" i="5"/>
  <c r="A542" i="5"/>
  <c r="G541" i="5"/>
  <c r="E541" i="5"/>
  <c r="H540" i="5"/>
  <c r="G540" i="5"/>
  <c r="F540" i="5"/>
  <c r="E540" i="5"/>
  <c r="D540" i="5"/>
  <c r="H539" i="5"/>
  <c r="G539" i="5"/>
  <c r="E539" i="5"/>
  <c r="D539" i="5"/>
  <c r="C533" i="5"/>
  <c r="AB531" i="5"/>
  <c r="AA531" i="5"/>
  <c r="Z531" i="5"/>
  <c r="Y531" i="5"/>
  <c r="X531" i="5"/>
  <c r="W531" i="5"/>
  <c r="V531" i="5"/>
  <c r="U531" i="5"/>
  <c r="T531" i="5"/>
  <c r="K532" i="5"/>
  <c r="K531" i="5"/>
  <c r="J532" i="5"/>
  <c r="J531" i="5"/>
  <c r="I532" i="5"/>
  <c r="I531" i="5"/>
  <c r="H531" i="5"/>
  <c r="G531" i="5"/>
  <c r="F532" i="5"/>
  <c r="F531" i="5"/>
  <c r="E532" i="5"/>
  <c r="E531" i="5"/>
  <c r="D531" i="5"/>
  <c r="C532" i="5"/>
  <c r="C531" i="5"/>
  <c r="B531" i="5"/>
  <c r="A531" i="5"/>
  <c r="AB529" i="5"/>
  <c r="AA529" i="5"/>
  <c r="Z529" i="5"/>
  <c r="Y529" i="5"/>
  <c r="X529" i="5"/>
  <c r="W529" i="5"/>
  <c r="V529" i="5"/>
  <c r="U529" i="5"/>
  <c r="T529" i="5"/>
  <c r="K530" i="5"/>
  <c r="K529" i="5"/>
  <c r="J530" i="5"/>
  <c r="J529" i="5"/>
  <c r="I530" i="5"/>
  <c r="I529" i="5"/>
  <c r="H529" i="5"/>
  <c r="G529" i="5"/>
  <c r="F530" i="5"/>
  <c r="F529" i="5"/>
  <c r="E530" i="5"/>
  <c r="E529" i="5"/>
  <c r="D529" i="5"/>
  <c r="C530" i="5"/>
  <c r="C529" i="5"/>
  <c r="B529" i="5"/>
  <c r="A529" i="5"/>
  <c r="AB527" i="5"/>
  <c r="AA527" i="5"/>
  <c r="Z527" i="5"/>
  <c r="Y527" i="5"/>
  <c r="X527" i="5"/>
  <c r="W527" i="5"/>
  <c r="V527" i="5"/>
  <c r="U527" i="5"/>
  <c r="T527" i="5"/>
  <c r="K528" i="5"/>
  <c r="K527" i="5"/>
  <c r="J528" i="5"/>
  <c r="J527" i="5"/>
  <c r="I528" i="5"/>
  <c r="I527" i="5"/>
  <c r="H527" i="5"/>
  <c r="G527" i="5"/>
  <c r="F528" i="5"/>
  <c r="F527" i="5"/>
  <c r="E528" i="5"/>
  <c r="E527" i="5"/>
  <c r="D527" i="5"/>
  <c r="C528" i="5"/>
  <c r="C527" i="5"/>
  <c r="B527" i="5"/>
  <c r="A527" i="5"/>
  <c r="G526" i="5"/>
  <c r="E526" i="5"/>
  <c r="H525" i="5"/>
  <c r="G525" i="5"/>
  <c r="F525" i="5"/>
  <c r="E525" i="5"/>
  <c r="D525" i="5"/>
  <c r="H524" i="5"/>
  <c r="G524" i="5"/>
  <c r="E524" i="5"/>
  <c r="D524" i="5"/>
  <c r="C518" i="5"/>
  <c r="AB516" i="5"/>
  <c r="AA516" i="5"/>
  <c r="Z516" i="5"/>
  <c r="Y516" i="5"/>
  <c r="X516" i="5"/>
  <c r="W516" i="5"/>
  <c r="V516" i="5"/>
  <c r="U516" i="5"/>
  <c r="T516" i="5"/>
  <c r="K517" i="5"/>
  <c r="K516" i="5"/>
  <c r="J517" i="5"/>
  <c r="J516" i="5"/>
  <c r="I517" i="5"/>
  <c r="I516" i="5"/>
  <c r="H516" i="5"/>
  <c r="G516" i="5"/>
  <c r="F517" i="5"/>
  <c r="F516" i="5"/>
  <c r="E517" i="5"/>
  <c r="E516" i="5"/>
  <c r="D516" i="5"/>
  <c r="C517" i="5"/>
  <c r="C516" i="5"/>
  <c r="B516" i="5"/>
  <c r="A516" i="5"/>
  <c r="E515" i="5"/>
  <c r="H514" i="5"/>
  <c r="F514" i="5"/>
  <c r="E514" i="5"/>
  <c r="D514" i="5"/>
  <c r="H513" i="5"/>
  <c r="E513" i="5"/>
  <c r="D513" i="5"/>
  <c r="J507" i="5"/>
  <c r="J506" i="5"/>
  <c r="F507" i="5"/>
  <c r="F506" i="5"/>
  <c r="E507" i="5"/>
  <c r="E506" i="5"/>
  <c r="D506" i="5"/>
  <c r="C507" i="5"/>
  <c r="C506" i="5"/>
  <c r="B506" i="5"/>
  <c r="A506" i="5"/>
  <c r="E505" i="5"/>
  <c r="H504" i="5"/>
  <c r="F504" i="5"/>
  <c r="E504" i="5"/>
  <c r="D504" i="5"/>
  <c r="H503" i="5"/>
  <c r="E503" i="5"/>
  <c r="D503" i="5"/>
  <c r="J496" i="5"/>
  <c r="J495" i="5"/>
  <c r="F496" i="5"/>
  <c r="F495" i="5"/>
  <c r="E496" i="5"/>
  <c r="E495" i="5"/>
  <c r="D495" i="5"/>
  <c r="C496" i="5"/>
  <c r="C495" i="5"/>
  <c r="B495" i="5"/>
  <c r="A495" i="5"/>
  <c r="J494" i="5"/>
  <c r="J493" i="5"/>
  <c r="F494" i="5"/>
  <c r="F493" i="5"/>
  <c r="E494" i="5"/>
  <c r="E493" i="5"/>
  <c r="C494" i="5"/>
  <c r="C493" i="5"/>
  <c r="B493" i="5"/>
  <c r="A493" i="5"/>
  <c r="J491" i="5"/>
  <c r="J490" i="5"/>
  <c r="F491" i="5"/>
  <c r="F490" i="5"/>
  <c r="E491" i="5"/>
  <c r="E490" i="5"/>
  <c r="C491" i="5"/>
  <c r="C490" i="5"/>
  <c r="B490" i="5"/>
  <c r="A490" i="5"/>
  <c r="E489" i="5"/>
  <c r="H488" i="5"/>
  <c r="E488" i="5"/>
  <c r="D488" i="5"/>
  <c r="H487" i="5"/>
  <c r="E487" i="5"/>
  <c r="D487" i="5"/>
  <c r="J485" i="5"/>
  <c r="J484" i="5"/>
  <c r="F485" i="5"/>
  <c r="F484" i="5"/>
  <c r="E485" i="5"/>
  <c r="E484" i="5"/>
  <c r="D484" i="5"/>
  <c r="C485" i="5"/>
  <c r="C484" i="5"/>
  <c r="B484" i="5"/>
  <c r="A484" i="5"/>
  <c r="A483" i="5"/>
  <c r="C481" i="5"/>
  <c r="C476" i="5"/>
  <c r="G474" i="5"/>
  <c r="E474" i="5"/>
  <c r="H473" i="5"/>
  <c r="G473" i="5"/>
  <c r="F473" i="5"/>
  <c r="E473" i="5"/>
  <c r="D473" i="5"/>
  <c r="H472" i="5"/>
  <c r="G472" i="5"/>
  <c r="E472" i="5"/>
  <c r="D472" i="5"/>
  <c r="C466" i="5"/>
  <c r="AB464" i="5"/>
  <c r="AA464" i="5"/>
  <c r="Z464" i="5"/>
  <c r="Y464" i="5"/>
  <c r="X464" i="5"/>
  <c r="W464" i="5"/>
  <c r="V464" i="5"/>
  <c r="U464" i="5"/>
  <c r="T464" i="5"/>
  <c r="K465" i="5"/>
  <c r="K464" i="5"/>
  <c r="J465" i="5"/>
  <c r="J464" i="5"/>
  <c r="I465" i="5"/>
  <c r="I464" i="5"/>
  <c r="H464" i="5"/>
  <c r="G464" i="5"/>
  <c r="F465" i="5"/>
  <c r="F464" i="5"/>
  <c r="E465" i="5"/>
  <c r="E464" i="5"/>
  <c r="D464" i="5"/>
  <c r="C465" i="5"/>
  <c r="C464" i="5"/>
  <c r="B464" i="5"/>
  <c r="A464" i="5"/>
  <c r="G463" i="5"/>
  <c r="E463" i="5"/>
  <c r="H462" i="5"/>
  <c r="G462" i="5"/>
  <c r="F462" i="5"/>
  <c r="E462" i="5"/>
  <c r="D462" i="5"/>
  <c r="H461" i="5"/>
  <c r="G461" i="5"/>
  <c r="E461" i="5"/>
  <c r="D461" i="5"/>
  <c r="C455" i="5"/>
  <c r="AB453" i="5"/>
  <c r="AA453" i="5"/>
  <c r="Z453" i="5"/>
  <c r="Y453" i="5"/>
  <c r="X453" i="5"/>
  <c r="W453" i="5"/>
  <c r="V453" i="5"/>
  <c r="U453" i="5"/>
  <c r="T453" i="5"/>
  <c r="K454" i="5"/>
  <c r="K453" i="5"/>
  <c r="J454" i="5"/>
  <c r="J453" i="5"/>
  <c r="I454" i="5"/>
  <c r="I453" i="5"/>
  <c r="H453" i="5"/>
  <c r="G453" i="5"/>
  <c r="F454" i="5"/>
  <c r="F453" i="5"/>
  <c r="E454" i="5"/>
  <c r="E453" i="5"/>
  <c r="D453" i="5"/>
  <c r="C454" i="5"/>
  <c r="C453" i="5"/>
  <c r="B453" i="5"/>
  <c r="A453" i="5"/>
  <c r="AB451" i="5"/>
  <c r="AA451" i="5"/>
  <c r="Z451" i="5"/>
  <c r="Y451" i="5"/>
  <c r="X451" i="5"/>
  <c r="W451" i="5"/>
  <c r="V451" i="5"/>
  <c r="U451" i="5"/>
  <c r="T451" i="5"/>
  <c r="K452" i="5"/>
  <c r="K451" i="5"/>
  <c r="J452" i="5"/>
  <c r="J451" i="5"/>
  <c r="I452" i="5"/>
  <c r="I451" i="5"/>
  <c r="H451" i="5"/>
  <c r="G451" i="5"/>
  <c r="F452" i="5"/>
  <c r="F451" i="5"/>
  <c r="E452" i="5"/>
  <c r="E451" i="5"/>
  <c r="D451" i="5"/>
  <c r="C452" i="5"/>
  <c r="B451" i="5"/>
  <c r="A451" i="5"/>
  <c r="G450" i="5"/>
  <c r="E450" i="5"/>
  <c r="H449" i="5"/>
  <c r="G449" i="5"/>
  <c r="F449" i="5"/>
  <c r="E449" i="5"/>
  <c r="D449" i="5"/>
  <c r="H448" i="5"/>
  <c r="G448" i="5"/>
  <c r="E448" i="5"/>
  <c r="D448" i="5"/>
  <c r="C442" i="5"/>
  <c r="AB440" i="5"/>
  <c r="AA440" i="5"/>
  <c r="Z440" i="5"/>
  <c r="K477" i="5" s="1"/>
  <c r="Y440" i="5"/>
  <c r="X440" i="5"/>
  <c r="W440" i="5"/>
  <c r="V440" i="5"/>
  <c r="H476" i="5" s="1"/>
  <c r="U440" i="5"/>
  <c r="T440" i="5"/>
  <c r="K441" i="5"/>
  <c r="K440" i="5"/>
  <c r="J441" i="5"/>
  <c r="J440" i="5"/>
  <c r="I441" i="5"/>
  <c r="I440" i="5"/>
  <c r="H440" i="5"/>
  <c r="G440" i="5"/>
  <c r="F441" i="5"/>
  <c r="F440" i="5"/>
  <c r="E441" i="5"/>
  <c r="E440" i="5"/>
  <c r="D440" i="5"/>
  <c r="C441" i="5"/>
  <c r="C440" i="5"/>
  <c r="B440" i="5"/>
  <c r="A440" i="5"/>
  <c r="A439" i="5"/>
  <c r="C434" i="5"/>
  <c r="G432" i="5"/>
  <c r="E432" i="5"/>
  <c r="H431" i="5"/>
  <c r="G431" i="5"/>
  <c r="E431" i="5"/>
  <c r="D431" i="5"/>
  <c r="C425" i="5"/>
  <c r="AB423" i="5"/>
  <c r="AA423" i="5"/>
  <c r="Z423" i="5"/>
  <c r="Y423" i="5"/>
  <c r="X423" i="5"/>
  <c r="W423" i="5"/>
  <c r="V423" i="5"/>
  <c r="U423" i="5"/>
  <c r="T423" i="5"/>
  <c r="K424" i="5"/>
  <c r="K423" i="5"/>
  <c r="J424" i="5"/>
  <c r="J423" i="5"/>
  <c r="I424" i="5"/>
  <c r="I423" i="5"/>
  <c r="H423" i="5"/>
  <c r="G423" i="5"/>
  <c r="F424" i="5"/>
  <c r="F423" i="5"/>
  <c r="E424" i="5"/>
  <c r="E423" i="5"/>
  <c r="D423" i="5"/>
  <c r="C424" i="5"/>
  <c r="C423" i="5"/>
  <c r="B423" i="5"/>
  <c r="A423" i="5"/>
  <c r="G422" i="5"/>
  <c r="E422" i="5"/>
  <c r="H421" i="5"/>
  <c r="G421" i="5"/>
  <c r="F421" i="5"/>
  <c r="E421" i="5"/>
  <c r="D421" i="5"/>
  <c r="H420" i="5"/>
  <c r="G420" i="5"/>
  <c r="E420" i="5"/>
  <c r="D420" i="5"/>
  <c r="C414" i="5"/>
  <c r="AB412" i="5"/>
  <c r="AA412" i="5"/>
  <c r="Z412" i="5"/>
  <c r="Y412" i="5"/>
  <c r="X412" i="5"/>
  <c r="W412" i="5"/>
  <c r="V412" i="5"/>
  <c r="U412" i="5"/>
  <c r="T412" i="5"/>
  <c r="K413" i="5"/>
  <c r="K412" i="5"/>
  <c r="J413" i="5"/>
  <c r="J412" i="5"/>
  <c r="I413" i="5"/>
  <c r="I412" i="5"/>
  <c r="H412" i="5"/>
  <c r="G412" i="5"/>
  <c r="F413" i="5"/>
  <c r="F412" i="5"/>
  <c r="E413" i="5"/>
  <c r="E412" i="5"/>
  <c r="D412" i="5"/>
  <c r="C413" i="5"/>
  <c r="C412" i="5"/>
  <c r="B412" i="5"/>
  <c r="A412" i="5"/>
  <c r="AB410" i="5"/>
  <c r="AA410" i="5"/>
  <c r="Z410" i="5"/>
  <c r="Y410" i="5"/>
  <c r="X410" i="5"/>
  <c r="W410" i="5"/>
  <c r="V410" i="5"/>
  <c r="U410" i="5"/>
  <c r="T410" i="5"/>
  <c r="K411" i="5"/>
  <c r="K410" i="5"/>
  <c r="J411" i="5"/>
  <c r="J410" i="5"/>
  <c r="I411" i="5"/>
  <c r="I410" i="5"/>
  <c r="H410" i="5"/>
  <c r="G410" i="5"/>
  <c r="F411" i="5"/>
  <c r="F410" i="5"/>
  <c r="E411" i="5"/>
  <c r="E410" i="5"/>
  <c r="D410" i="5"/>
  <c r="C411" i="5"/>
  <c r="B410" i="5"/>
  <c r="A410" i="5"/>
  <c r="G409" i="5"/>
  <c r="E409" i="5"/>
  <c r="H408" i="5"/>
  <c r="G408" i="5"/>
  <c r="F408" i="5"/>
  <c r="E408" i="5"/>
  <c r="D408" i="5"/>
  <c r="H407" i="5"/>
  <c r="G407" i="5"/>
  <c r="E407" i="5"/>
  <c r="D407" i="5"/>
  <c r="C401" i="5"/>
  <c r="AB399" i="5"/>
  <c r="AA399" i="5"/>
  <c r="Z399" i="5"/>
  <c r="K435" i="5" s="1"/>
  <c r="Y399" i="5"/>
  <c r="X399" i="5"/>
  <c r="W399" i="5"/>
  <c r="V399" i="5"/>
  <c r="H434" i="5" s="1"/>
  <c r="U399" i="5"/>
  <c r="T399" i="5"/>
  <c r="K400" i="5"/>
  <c r="K399" i="5"/>
  <c r="J400" i="5"/>
  <c r="J399" i="5"/>
  <c r="I400" i="5"/>
  <c r="I399" i="5"/>
  <c r="H399" i="5"/>
  <c r="G399" i="5"/>
  <c r="F400" i="5"/>
  <c r="F399" i="5"/>
  <c r="E400" i="5"/>
  <c r="E399" i="5"/>
  <c r="D399" i="5"/>
  <c r="C400" i="5"/>
  <c r="C399" i="5"/>
  <c r="B399" i="5"/>
  <c r="A399" i="5"/>
  <c r="A398" i="5"/>
  <c r="AG393" i="5"/>
  <c r="C393" i="5"/>
  <c r="AB390" i="5"/>
  <c r="AA390" i="5"/>
  <c r="Z390" i="5"/>
  <c r="Y390" i="5"/>
  <c r="X390" i="5"/>
  <c r="W390" i="5"/>
  <c r="V390" i="5"/>
  <c r="U390" i="5"/>
  <c r="T390" i="5"/>
  <c r="K391" i="5"/>
  <c r="K390" i="5"/>
  <c r="J391" i="5"/>
  <c r="J390" i="5"/>
  <c r="I391" i="5"/>
  <c r="I390" i="5"/>
  <c r="H390" i="5"/>
  <c r="G390" i="5"/>
  <c r="F391" i="5"/>
  <c r="F390" i="5"/>
  <c r="E391" i="5"/>
  <c r="E390" i="5"/>
  <c r="D390" i="5"/>
  <c r="C391" i="5"/>
  <c r="C390" i="5"/>
  <c r="B390" i="5"/>
  <c r="A390" i="5"/>
  <c r="AB388" i="5"/>
  <c r="AA388" i="5"/>
  <c r="Z388" i="5"/>
  <c r="Y388" i="5"/>
  <c r="X388" i="5"/>
  <c r="W388" i="5"/>
  <c r="V388" i="5"/>
  <c r="U388" i="5"/>
  <c r="T388" i="5"/>
  <c r="K389" i="5"/>
  <c r="K388" i="5"/>
  <c r="J389" i="5"/>
  <c r="J388" i="5"/>
  <c r="I389" i="5"/>
  <c r="I388" i="5"/>
  <c r="H388" i="5"/>
  <c r="G388" i="5"/>
  <c r="F389" i="5"/>
  <c r="F388" i="5"/>
  <c r="E389" i="5"/>
  <c r="E388" i="5"/>
  <c r="D388" i="5"/>
  <c r="C389" i="5"/>
  <c r="B388" i="5"/>
  <c r="A388" i="5"/>
  <c r="G387" i="5"/>
  <c r="E387" i="5"/>
  <c r="H386" i="5"/>
  <c r="G386" i="5"/>
  <c r="F386" i="5"/>
  <c r="E386" i="5"/>
  <c r="D386" i="5"/>
  <c r="H385" i="5"/>
  <c r="G385" i="5"/>
  <c r="E385" i="5"/>
  <c r="D385" i="5"/>
  <c r="C379" i="5"/>
  <c r="AB377" i="5"/>
  <c r="AA377" i="5"/>
  <c r="Z377" i="5"/>
  <c r="Y377" i="5"/>
  <c r="X377" i="5"/>
  <c r="W377" i="5"/>
  <c r="V377" i="5"/>
  <c r="U377" i="5"/>
  <c r="T377" i="5"/>
  <c r="K378" i="5"/>
  <c r="K377" i="5"/>
  <c r="J378" i="5"/>
  <c r="J377" i="5"/>
  <c r="I378" i="5"/>
  <c r="I377" i="5"/>
  <c r="H377" i="5"/>
  <c r="G377" i="5"/>
  <c r="F378" i="5"/>
  <c r="F377" i="5"/>
  <c r="E378" i="5"/>
  <c r="E377" i="5"/>
  <c r="D377" i="5"/>
  <c r="C378" i="5"/>
  <c r="C377" i="5"/>
  <c r="B377" i="5"/>
  <c r="A377" i="5"/>
  <c r="AB375" i="5"/>
  <c r="AA375" i="5"/>
  <c r="Z375" i="5"/>
  <c r="Y375" i="5"/>
  <c r="X375" i="5"/>
  <c r="W375" i="5"/>
  <c r="V375" i="5"/>
  <c r="U375" i="5"/>
  <c r="T375" i="5"/>
  <c r="K376" i="5"/>
  <c r="K375" i="5"/>
  <c r="J376" i="5"/>
  <c r="J375" i="5"/>
  <c r="I376" i="5"/>
  <c r="I375" i="5"/>
  <c r="H375" i="5"/>
  <c r="G375" i="5"/>
  <c r="F376" i="5"/>
  <c r="F375" i="5"/>
  <c r="E376" i="5"/>
  <c r="E375" i="5"/>
  <c r="D375" i="5"/>
  <c r="C376" i="5"/>
  <c r="C375" i="5"/>
  <c r="B375" i="5"/>
  <c r="A375" i="5"/>
  <c r="G374" i="5"/>
  <c r="E374" i="5"/>
  <c r="H373" i="5"/>
  <c r="G373" i="5"/>
  <c r="F373" i="5"/>
  <c r="E373" i="5"/>
  <c r="D373" i="5"/>
  <c r="H372" i="5"/>
  <c r="G372" i="5"/>
  <c r="E372" i="5"/>
  <c r="D372" i="5"/>
  <c r="C366" i="5"/>
  <c r="AB364" i="5"/>
  <c r="AA364" i="5"/>
  <c r="Z364" i="5"/>
  <c r="Y364" i="5"/>
  <c r="X364" i="5"/>
  <c r="W364" i="5"/>
  <c r="V364" i="5"/>
  <c r="U364" i="5"/>
  <c r="T364" i="5"/>
  <c r="K365" i="5"/>
  <c r="K364" i="5"/>
  <c r="J365" i="5"/>
  <c r="J364" i="5"/>
  <c r="I365" i="5"/>
  <c r="I364" i="5"/>
  <c r="H364" i="5"/>
  <c r="G364" i="5"/>
  <c r="F365" i="5"/>
  <c r="F364" i="5"/>
  <c r="E365" i="5"/>
  <c r="E364" i="5"/>
  <c r="D364" i="5"/>
  <c r="C365" i="5"/>
  <c r="C364" i="5"/>
  <c r="B364" i="5"/>
  <c r="A364" i="5"/>
  <c r="AB362" i="5"/>
  <c r="AA362" i="5"/>
  <c r="Z362" i="5"/>
  <c r="Y362" i="5"/>
  <c r="X362" i="5"/>
  <c r="W362" i="5"/>
  <c r="V362" i="5"/>
  <c r="U362" i="5"/>
  <c r="T362" i="5"/>
  <c r="K363" i="5"/>
  <c r="K362" i="5"/>
  <c r="J363" i="5"/>
  <c r="J362" i="5"/>
  <c r="I363" i="5"/>
  <c r="I362" i="5"/>
  <c r="H362" i="5"/>
  <c r="G362" i="5"/>
  <c r="F363" i="5"/>
  <c r="F362" i="5"/>
  <c r="E363" i="5"/>
  <c r="E362" i="5"/>
  <c r="D362" i="5"/>
  <c r="C363" i="5"/>
  <c r="C362" i="5"/>
  <c r="B362" i="5"/>
  <c r="A362" i="5"/>
  <c r="G361" i="5"/>
  <c r="E361" i="5"/>
  <c r="H360" i="5"/>
  <c r="G360" i="5"/>
  <c r="F360" i="5"/>
  <c r="E360" i="5"/>
  <c r="D360" i="5"/>
  <c r="H359" i="5"/>
  <c r="G359" i="5"/>
  <c r="E359" i="5"/>
  <c r="D359" i="5"/>
  <c r="C353" i="5"/>
  <c r="AB351" i="5"/>
  <c r="AA351" i="5"/>
  <c r="Z351" i="5"/>
  <c r="Y351" i="5"/>
  <c r="X351" i="5"/>
  <c r="W351" i="5"/>
  <c r="V351" i="5"/>
  <c r="U351" i="5"/>
  <c r="T351" i="5"/>
  <c r="K352" i="5"/>
  <c r="K351" i="5"/>
  <c r="J352" i="5"/>
  <c r="J351" i="5"/>
  <c r="I352" i="5"/>
  <c r="I351" i="5"/>
  <c r="H351" i="5"/>
  <c r="G351" i="5"/>
  <c r="F352" i="5"/>
  <c r="F351" i="5"/>
  <c r="E352" i="5"/>
  <c r="E351" i="5"/>
  <c r="D351" i="5"/>
  <c r="C352" i="5"/>
  <c r="C351" i="5"/>
  <c r="B351" i="5"/>
  <c r="A351" i="5"/>
  <c r="AB349" i="5"/>
  <c r="AA349" i="5"/>
  <c r="Z349" i="5"/>
  <c r="Y349" i="5"/>
  <c r="X349" i="5"/>
  <c r="W349" i="5"/>
  <c r="V349" i="5"/>
  <c r="U349" i="5"/>
  <c r="T349" i="5"/>
  <c r="K350" i="5"/>
  <c r="K349" i="5"/>
  <c r="J350" i="5"/>
  <c r="J349" i="5"/>
  <c r="I350" i="5"/>
  <c r="I349" i="5"/>
  <c r="H349" i="5"/>
  <c r="G349" i="5"/>
  <c r="F350" i="5"/>
  <c r="F349" i="5"/>
  <c r="E350" i="5"/>
  <c r="E349" i="5"/>
  <c r="D349" i="5"/>
  <c r="C350" i="5"/>
  <c r="C349" i="5"/>
  <c r="B349" i="5"/>
  <c r="A349" i="5"/>
  <c r="G348" i="5"/>
  <c r="E348" i="5"/>
  <c r="H347" i="5"/>
  <c r="G347" i="5"/>
  <c r="F347" i="5"/>
  <c r="E347" i="5"/>
  <c r="D347" i="5"/>
  <c r="H346" i="5"/>
  <c r="G346" i="5"/>
  <c r="E346" i="5"/>
  <c r="D346" i="5"/>
  <c r="C340" i="5"/>
  <c r="AB338" i="5"/>
  <c r="AA338" i="5"/>
  <c r="Z338" i="5"/>
  <c r="K394" i="5" s="1"/>
  <c r="Y338" i="5"/>
  <c r="X338" i="5"/>
  <c r="W338" i="5"/>
  <c r="V338" i="5"/>
  <c r="H393" i="5" s="1"/>
  <c r="U338" i="5"/>
  <c r="T338" i="5"/>
  <c r="K339" i="5"/>
  <c r="K338" i="5"/>
  <c r="J339" i="5"/>
  <c r="J338" i="5"/>
  <c r="I339" i="5"/>
  <c r="I338" i="5"/>
  <c r="H338" i="5"/>
  <c r="G338" i="5"/>
  <c r="F339" i="5"/>
  <c r="F338" i="5"/>
  <c r="E339" i="5"/>
  <c r="E338" i="5"/>
  <c r="D338" i="5"/>
  <c r="C339" i="5"/>
  <c r="C338" i="5"/>
  <c r="B338" i="5"/>
  <c r="A338" i="5"/>
  <c r="A337" i="5"/>
  <c r="AG332" i="5"/>
  <c r="C332" i="5"/>
  <c r="AB329" i="5"/>
  <c r="AA329" i="5"/>
  <c r="Z329" i="5"/>
  <c r="Y329" i="5"/>
  <c r="X329" i="5"/>
  <c r="W329" i="5"/>
  <c r="V329" i="5"/>
  <c r="U329" i="5"/>
  <c r="T329" i="5"/>
  <c r="K330" i="5"/>
  <c r="K329" i="5"/>
  <c r="J330" i="5"/>
  <c r="J329" i="5"/>
  <c r="I330" i="5"/>
  <c r="I329" i="5"/>
  <c r="H329" i="5"/>
  <c r="G329" i="5"/>
  <c r="F330" i="5"/>
  <c r="F329" i="5"/>
  <c r="E330" i="5"/>
  <c r="E329" i="5"/>
  <c r="D329" i="5"/>
  <c r="C330" i="5"/>
  <c r="C329" i="5"/>
  <c r="B329" i="5"/>
  <c r="A329" i="5"/>
  <c r="C328" i="5"/>
  <c r="AB326" i="5"/>
  <c r="AA326" i="5"/>
  <c r="Z326" i="5"/>
  <c r="Y326" i="5"/>
  <c r="X326" i="5"/>
  <c r="W326" i="5"/>
  <c r="V326" i="5"/>
  <c r="U326" i="5"/>
  <c r="T326" i="5"/>
  <c r="K327" i="5"/>
  <c r="K326" i="5"/>
  <c r="J327" i="5"/>
  <c r="J326" i="5"/>
  <c r="I327" i="5"/>
  <c r="I326" i="5"/>
  <c r="H326" i="5"/>
  <c r="G326" i="5"/>
  <c r="F327" i="5"/>
  <c r="F326" i="5"/>
  <c r="E327" i="5"/>
  <c r="E326" i="5"/>
  <c r="D326" i="5"/>
  <c r="C327" i="5"/>
  <c r="C326" i="5"/>
  <c r="B326" i="5"/>
  <c r="A326" i="5"/>
  <c r="G325" i="5"/>
  <c r="E325" i="5"/>
  <c r="H324" i="5"/>
  <c r="G324" i="5"/>
  <c r="F324" i="5"/>
  <c r="E324" i="5"/>
  <c r="D324" i="5"/>
  <c r="H323" i="5"/>
  <c r="G323" i="5"/>
  <c r="E323" i="5"/>
  <c r="D323" i="5"/>
  <c r="C317" i="5"/>
  <c r="AB315" i="5"/>
  <c r="AA315" i="5"/>
  <c r="Z315" i="5"/>
  <c r="Y315" i="5"/>
  <c r="X315" i="5"/>
  <c r="W315" i="5"/>
  <c r="V315" i="5"/>
  <c r="U315" i="5"/>
  <c r="T315" i="5"/>
  <c r="K316" i="5"/>
  <c r="K315" i="5"/>
  <c r="J316" i="5"/>
  <c r="J315" i="5"/>
  <c r="I316" i="5"/>
  <c r="I315" i="5"/>
  <c r="H315" i="5"/>
  <c r="G315" i="5"/>
  <c r="F316" i="5"/>
  <c r="F315" i="5"/>
  <c r="E316" i="5"/>
  <c r="E315" i="5"/>
  <c r="D315" i="5"/>
  <c r="C316" i="5"/>
  <c r="C315" i="5"/>
  <c r="B315" i="5"/>
  <c r="A315" i="5"/>
  <c r="AB313" i="5"/>
  <c r="AA313" i="5"/>
  <c r="Z313" i="5"/>
  <c r="Y313" i="5"/>
  <c r="X313" i="5"/>
  <c r="W313" i="5"/>
  <c r="V313" i="5"/>
  <c r="U313" i="5"/>
  <c r="T313" i="5"/>
  <c r="K314" i="5"/>
  <c r="K313" i="5"/>
  <c r="J314" i="5"/>
  <c r="J313" i="5"/>
  <c r="I314" i="5"/>
  <c r="I313" i="5"/>
  <c r="H313" i="5"/>
  <c r="G313" i="5"/>
  <c r="F314" i="5"/>
  <c r="F313" i="5"/>
  <c r="E314" i="5"/>
  <c r="E313" i="5"/>
  <c r="D313" i="5"/>
  <c r="C314" i="5"/>
  <c r="C313" i="5"/>
  <c r="B313" i="5"/>
  <c r="A313" i="5"/>
  <c r="AB311" i="5"/>
  <c r="AA311" i="5"/>
  <c r="Z311" i="5"/>
  <c r="Y311" i="5"/>
  <c r="X311" i="5"/>
  <c r="W311" i="5"/>
  <c r="V311" i="5"/>
  <c r="U311" i="5"/>
  <c r="T311" i="5"/>
  <c r="K312" i="5"/>
  <c r="K311" i="5"/>
  <c r="J312" i="5"/>
  <c r="J311" i="5"/>
  <c r="I312" i="5"/>
  <c r="I311" i="5"/>
  <c r="H311" i="5"/>
  <c r="G311" i="5"/>
  <c r="F312" i="5"/>
  <c r="F311" i="5"/>
  <c r="E312" i="5"/>
  <c r="E311" i="5"/>
  <c r="D311" i="5"/>
  <c r="C312" i="5"/>
  <c r="B311" i="5"/>
  <c r="A311" i="5"/>
  <c r="AB309" i="5"/>
  <c r="AA309" i="5"/>
  <c r="Z309" i="5"/>
  <c r="Y309" i="5"/>
  <c r="X309" i="5"/>
  <c r="W309" i="5"/>
  <c r="V309" i="5"/>
  <c r="U309" i="5"/>
  <c r="T309" i="5"/>
  <c r="K310" i="5"/>
  <c r="K309" i="5"/>
  <c r="J310" i="5"/>
  <c r="J309" i="5"/>
  <c r="I310" i="5"/>
  <c r="I309" i="5"/>
  <c r="H309" i="5"/>
  <c r="G309" i="5"/>
  <c r="F310" i="5"/>
  <c r="F309" i="5"/>
  <c r="E310" i="5"/>
  <c r="E309" i="5"/>
  <c r="D309" i="5"/>
  <c r="C310" i="5"/>
  <c r="C309" i="5"/>
  <c r="B309" i="5"/>
  <c r="A309" i="5"/>
  <c r="AB307" i="5"/>
  <c r="AA307" i="5"/>
  <c r="Z307" i="5"/>
  <c r="Y307" i="5"/>
  <c r="X307" i="5"/>
  <c r="W307" i="5"/>
  <c r="V307" i="5"/>
  <c r="U307" i="5"/>
  <c r="T307" i="5"/>
  <c r="K308" i="5"/>
  <c r="K307" i="5"/>
  <c r="J308" i="5"/>
  <c r="J307" i="5"/>
  <c r="I308" i="5"/>
  <c r="I307" i="5"/>
  <c r="H307" i="5"/>
  <c r="G307" i="5"/>
  <c r="F308" i="5"/>
  <c r="F307" i="5"/>
  <c r="E308" i="5"/>
  <c r="E307" i="5"/>
  <c r="D307" i="5"/>
  <c r="C308" i="5"/>
  <c r="B307" i="5"/>
  <c r="A307" i="5"/>
  <c r="AB305" i="5"/>
  <c r="AA305" i="5"/>
  <c r="Z305" i="5"/>
  <c r="Y305" i="5"/>
  <c r="X305" i="5"/>
  <c r="W305" i="5"/>
  <c r="V305" i="5"/>
  <c r="U305" i="5"/>
  <c r="T305" i="5"/>
  <c r="K306" i="5"/>
  <c r="K305" i="5"/>
  <c r="J306" i="5"/>
  <c r="J305" i="5"/>
  <c r="I306" i="5"/>
  <c r="I305" i="5"/>
  <c r="H305" i="5"/>
  <c r="G305" i="5"/>
  <c r="F306" i="5"/>
  <c r="F305" i="5"/>
  <c r="E306" i="5"/>
  <c r="E305" i="5"/>
  <c r="D305" i="5"/>
  <c r="C306" i="5"/>
  <c r="C305" i="5"/>
  <c r="B305" i="5"/>
  <c r="A305" i="5"/>
  <c r="G304" i="5"/>
  <c r="E304" i="5"/>
  <c r="H303" i="5"/>
  <c r="G303" i="5"/>
  <c r="F303" i="5"/>
  <c r="E303" i="5"/>
  <c r="D303" i="5"/>
  <c r="H302" i="5"/>
  <c r="G302" i="5"/>
  <c r="E302" i="5"/>
  <c r="D302" i="5"/>
  <c r="C296" i="5"/>
  <c r="AB294" i="5"/>
  <c r="AA294" i="5"/>
  <c r="Z294" i="5"/>
  <c r="Y294" i="5"/>
  <c r="X294" i="5"/>
  <c r="W294" i="5"/>
  <c r="V294" i="5"/>
  <c r="U294" i="5"/>
  <c r="T294" i="5"/>
  <c r="K295" i="5"/>
  <c r="K294" i="5"/>
  <c r="J295" i="5"/>
  <c r="J294" i="5"/>
  <c r="I295" i="5"/>
  <c r="I294" i="5"/>
  <c r="H294" i="5"/>
  <c r="G294" i="5"/>
  <c r="F295" i="5"/>
  <c r="F294" i="5"/>
  <c r="E295" i="5"/>
  <c r="E294" i="5"/>
  <c r="D294" i="5"/>
  <c r="C295" i="5"/>
  <c r="C294" i="5"/>
  <c r="B294" i="5"/>
  <c r="A294" i="5"/>
  <c r="AB292" i="5"/>
  <c r="AA292" i="5"/>
  <c r="Z292" i="5"/>
  <c r="Y292" i="5"/>
  <c r="X292" i="5"/>
  <c r="W292" i="5"/>
  <c r="V292" i="5"/>
  <c r="U292" i="5"/>
  <c r="T292" i="5"/>
  <c r="K293" i="5"/>
  <c r="K292" i="5"/>
  <c r="J293" i="5"/>
  <c r="J292" i="5"/>
  <c r="I293" i="5"/>
  <c r="I292" i="5"/>
  <c r="H292" i="5"/>
  <c r="G292" i="5"/>
  <c r="F293" i="5"/>
  <c r="F292" i="5"/>
  <c r="E293" i="5"/>
  <c r="E292" i="5"/>
  <c r="D292" i="5"/>
  <c r="C293" i="5"/>
  <c r="C292" i="5"/>
  <c r="B292" i="5"/>
  <c r="A292" i="5"/>
  <c r="G291" i="5"/>
  <c r="E291" i="5"/>
  <c r="H290" i="5"/>
  <c r="G290" i="5"/>
  <c r="F290" i="5"/>
  <c r="E290" i="5"/>
  <c r="D290" i="5"/>
  <c r="H289" i="5"/>
  <c r="G289" i="5"/>
  <c r="E289" i="5"/>
  <c r="D289" i="5"/>
  <c r="C283" i="5"/>
  <c r="AB281" i="5"/>
  <c r="AA281" i="5"/>
  <c r="Z281" i="5"/>
  <c r="Y281" i="5"/>
  <c r="X281" i="5"/>
  <c r="W281" i="5"/>
  <c r="V281" i="5"/>
  <c r="U281" i="5"/>
  <c r="T281" i="5"/>
  <c r="K282" i="5"/>
  <c r="K281" i="5"/>
  <c r="J282" i="5"/>
  <c r="J281" i="5"/>
  <c r="I282" i="5"/>
  <c r="I281" i="5"/>
  <c r="H281" i="5"/>
  <c r="G281" i="5"/>
  <c r="F282" i="5"/>
  <c r="F281" i="5"/>
  <c r="E282" i="5"/>
  <c r="E281" i="5"/>
  <c r="D281" i="5"/>
  <c r="C282" i="5"/>
  <c r="C281" i="5"/>
  <c r="B281" i="5"/>
  <c r="A281" i="5"/>
  <c r="G280" i="5"/>
  <c r="E280" i="5"/>
  <c r="H279" i="5"/>
  <c r="G279" i="5"/>
  <c r="F279" i="5"/>
  <c r="E279" i="5"/>
  <c r="D279" i="5"/>
  <c r="H278" i="5"/>
  <c r="G278" i="5"/>
  <c r="E278" i="5"/>
  <c r="D278" i="5"/>
  <c r="C272" i="5"/>
  <c r="AB270" i="5"/>
  <c r="AA270" i="5"/>
  <c r="Z270" i="5"/>
  <c r="Y270" i="5"/>
  <c r="X270" i="5"/>
  <c r="I333" i="5" s="1"/>
  <c r="W270" i="5"/>
  <c r="V270" i="5"/>
  <c r="U270" i="5"/>
  <c r="T270" i="5"/>
  <c r="K271" i="5"/>
  <c r="K270" i="5"/>
  <c r="J271" i="5"/>
  <c r="J270" i="5"/>
  <c r="I271" i="5"/>
  <c r="I270" i="5"/>
  <c r="H270" i="5"/>
  <c r="G270" i="5"/>
  <c r="F271" i="5"/>
  <c r="F270" i="5"/>
  <c r="E271" i="5"/>
  <c r="E270" i="5"/>
  <c r="D270" i="5"/>
  <c r="C271" i="5"/>
  <c r="C270" i="5"/>
  <c r="B270" i="5"/>
  <c r="A270" i="5"/>
  <c r="A269" i="5"/>
  <c r="AG264" i="5"/>
  <c r="C264" i="5"/>
  <c r="AB261" i="5"/>
  <c r="AA261" i="5"/>
  <c r="Z261" i="5"/>
  <c r="Y261" i="5"/>
  <c r="X261" i="5"/>
  <c r="W261" i="5"/>
  <c r="V261" i="5"/>
  <c r="U261" i="5"/>
  <c r="T261" i="5"/>
  <c r="K262" i="5"/>
  <c r="K261" i="5"/>
  <c r="J262" i="5"/>
  <c r="J261" i="5"/>
  <c r="I262" i="5"/>
  <c r="I261" i="5"/>
  <c r="H261" i="5"/>
  <c r="G261" i="5"/>
  <c r="F262" i="5"/>
  <c r="F261" i="5"/>
  <c r="E262" i="5"/>
  <c r="E261" i="5"/>
  <c r="D261" i="5"/>
  <c r="C262" i="5"/>
  <c r="C261" i="5"/>
  <c r="B261" i="5"/>
  <c r="A261" i="5"/>
  <c r="C260" i="5"/>
  <c r="AB258" i="5"/>
  <c r="AA258" i="5"/>
  <c r="Z258" i="5"/>
  <c r="Y258" i="5"/>
  <c r="X258" i="5"/>
  <c r="W258" i="5"/>
  <c r="V258" i="5"/>
  <c r="U258" i="5"/>
  <c r="T258" i="5"/>
  <c r="K259" i="5"/>
  <c r="K258" i="5"/>
  <c r="J259" i="5"/>
  <c r="J258" i="5"/>
  <c r="I259" i="5"/>
  <c r="I258" i="5"/>
  <c r="H258" i="5"/>
  <c r="G258" i="5"/>
  <c r="F259" i="5"/>
  <c r="F258" i="5"/>
  <c r="E259" i="5"/>
  <c r="E258" i="5"/>
  <c r="D258" i="5"/>
  <c r="C259" i="5"/>
  <c r="C258" i="5"/>
  <c r="B258" i="5"/>
  <c r="A258" i="5"/>
  <c r="G257" i="5"/>
  <c r="E257" i="5"/>
  <c r="H256" i="5"/>
  <c r="G256" i="5"/>
  <c r="F256" i="5"/>
  <c r="E256" i="5"/>
  <c r="D256" i="5"/>
  <c r="H255" i="5"/>
  <c r="G255" i="5"/>
  <c r="E255" i="5"/>
  <c r="D255" i="5"/>
  <c r="C249" i="5"/>
  <c r="AB247" i="5"/>
  <c r="AA247" i="5"/>
  <c r="Z247" i="5"/>
  <c r="Y247" i="5"/>
  <c r="X247" i="5"/>
  <c r="W247" i="5"/>
  <c r="V247" i="5"/>
  <c r="U247" i="5"/>
  <c r="T247" i="5"/>
  <c r="K248" i="5"/>
  <c r="K247" i="5"/>
  <c r="J248" i="5"/>
  <c r="J247" i="5"/>
  <c r="I248" i="5"/>
  <c r="I247" i="5"/>
  <c r="H247" i="5"/>
  <c r="G247" i="5"/>
  <c r="F248" i="5"/>
  <c r="F247" i="5"/>
  <c r="E248" i="5"/>
  <c r="E247" i="5"/>
  <c r="D247" i="5"/>
  <c r="C248" i="5"/>
  <c r="C247" i="5"/>
  <c r="B247" i="5"/>
  <c r="A247" i="5"/>
  <c r="AB245" i="5"/>
  <c r="AA245" i="5"/>
  <c r="Z245" i="5"/>
  <c r="Y245" i="5"/>
  <c r="X245" i="5"/>
  <c r="W245" i="5"/>
  <c r="V245" i="5"/>
  <c r="U245" i="5"/>
  <c r="T245" i="5"/>
  <c r="K246" i="5"/>
  <c r="K245" i="5"/>
  <c r="J246" i="5"/>
  <c r="J245" i="5"/>
  <c r="I246" i="5"/>
  <c r="I245" i="5"/>
  <c r="H245" i="5"/>
  <c r="G245" i="5"/>
  <c r="F246" i="5"/>
  <c r="F245" i="5"/>
  <c r="E246" i="5"/>
  <c r="E245" i="5"/>
  <c r="D245" i="5"/>
  <c r="C246" i="5"/>
  <c r="C245" i="5"/>
  <c r="B245" i="5"/>
  <c r="A245" i="5"/>
  <c r="G244" i="5"/>
  <c r="E244" i="5"/>
  <c r="H243" i="5"/>
  <c r="G243" i="5"/>
  <c r="F243" i="5"/>
  <c r="E243" i="5"/>
  <c r="D243" i="5"/>
  <c r="H242" i="5"/>
  <c r="G242" i="5"/>
  <c r="E242" i="5"/>
  <c r="D242" i="5"/>
  <c r="C236" i="5"/>
  <c r="AB234" i="5"/>
  <c r="AA234" i="5"/>
  <c r="Z234" i="5"/>
  <c r="Y234" i="5"/>
  <c r="X234" i="5"/>
  <c r="W234" i="5"/>
  <c r="V234" i="5"/>
  <c r="U234" i="5"/>
  <c r="T234" i="5"/>
  <c r="K235" i="5"/>
  <c r="K234" i="5"/>
  <c r="J235" i="5"/>
  <c r="J234" i="5"/>
  <c r="I235" i="5"/>
  <c r="I234" i="5"/>
  <c r="H234" i="5"/>
  <c r="G234" i="5"/>
  <c r="F235" i="5"/>
  <c r="F234" i="5"/>
  <c r="E235" i="5"/>
  <c r="E234" i="5"/>
  <c r="D234" i="5"/>
  <c r="C235" i="5"/>
  <c r="C234" i="5"/>
  <c r="B234" i="5"/>
  <c r="A234" i="5"/>
  <c r="AB232" i="5"/>
  <c r="AA232" i="5"/>
  <c r="Z232" i="5"/>
  <c r="Y232" i="5"/>
  <c r="X232" i="5"/>
  <c r="W232" i="5"/>
  <c r="V232" i="5"/>
  <c r="U232" i="5"/>
  <c r="T232" i="5"/>
  <c r="K233" i="5"/>
  <c r="K232" i="5"/>
  <c r="J233" i="5"/>
  <c r="J232" i="5"/>
  <c r="I233" i="5"/>
  <c r="I232" i="5"/>
  <c r="H232" i="5"/>
  <c r="G232" i="5"/>
  <c r="F233" i="5"/>
  <c r="F232" i="5"/>
  <c r="E233" i="5"/>
  <c r="E232" i="5"/>
  <c r="D232" i="5"/>
  <c r="C233" i="5"/>
  <c r="C232" i="5"/>
  <c r="B232" i="5"/>
  <c r="A232" i="5"/>
  <c r="G231" i="5"/>
  <c r="E231" i="5"/>
  <c r="H230" i="5"/>
  <c r="G230" i="5"/>
  <c r="F230" i="5"/>
  <c r="E230" i="5"/>
  <c r="D230" i="5"/>
  <c r="H229" i="5"/>
  <c r="G229" i="5"/>
  <c r="E229" i="5"/>
  <c r="D229" i="5"/>
  <c r="C223" i="5"/>
  <c r="AB221" i="5"/>
  <c r="AA221" i="5"/>
  <c r="Z221" i="5"/>
  <c r="Y221" i="5"/>
  <c r="X221" i="5"/>
  <c r="W221" i="5"/>
  <c r="V221" i="5"/>
  <c r="U221" i="5"/>
  <c r="T221" i="5"/>
  <c r="K222" i="5"/>
  <c r="K221" i="5"/>
  <c r="J222" i="5"/>
  <c r="J221" i="5"/>
  <c r="I222" i="5"/>
  <c r="I221" i="5"/>
  <c r="H221" i="5"/>
  <c r="G221" i="5"/>
  <c r="F222" i="5"/>
  <c r="F221" i="5"/>
  <c r="E222" i="5"/>
  <c r="E221" i="5"/>
  <c r="D221" i="5"/>
  <c r="C222" i="5"/>
  <c r="C221" i="5"/>
  <c r="B221" i="5"/>
  <c r="A221" i="5"/>
  <c r="G220" i="5"/>
  <c r="E220" i="5"/>
  <c r="H219" i="5"/>
  <c r="G219" i="5"/>
  <c r="F219" i="5"/>
  <c r="E219" i="5"/>
  <c r="D219" i="5"/>
  <c r="H218" i="5"/>
  <c r="G218" i="5"/>
  <c r="E218" i="5"/>
  <c r="D218" i="5"/>
  <c r="C212" i="5"/>
  <c r="AB210" i="5"/>
  <c r="AA210" i="5"/>
  <c r="Z210" i="5"/>
  <c r="Y210" i="5"/>
  <c r="X210" i="5"/>
  <c r="I265" i="5" s="1"/>
  <c r="W210" i="5"/>
  <c r="V210" i="5"/>
  <c r="U210" i="5"/>
  <c r="T210" i="5"/>
  <c r="G264" i="5" s="1"/>
  <c r="K211" i="5"/>
  <c r="K210" i="5"/>
  <c r="J211" i="5"/>
  <c r="J210" i="5"/>
  <c r="I211" i="5"/>
  <c r="I210" i="5"/>
  <c r="H210" i="5"/>
  <c r="G210" i="5"/>
  <c r="F211" i="5"/>
  <c r="F210" i="5"/>
  <c r="E211" i="5"/>
  <c r="E210" i="5"/>
  <c r="D210" i="5"/>
  <c r="C211" i="5"/>
  <c r="C210" i="5"/>
  <c r="B210" i="5"/>
  <c r="A210" i="5"/>
  <c r="A209" i="5"/>
  <c r="C204" i="5"/>
  <c r="AB201" i="5"/>
  <c r="AA201" i="5"/>
  <c r="Z201" i="5"/>
  <c r="Y201" i="5"/>
  <c r="X201" i="5"/>
  <c r="W201" i="5"/>
  <c r="V201" i="5"/>
  <c r="U201" i="5"/>
  <c r="T201" i="5"/>
  <c r="K202" i="5"/>
  <c r="K201" i="5"/>
  <c r="J202" i="5"/>
  <c r="J201" i="5"/>
  <c r="I202" i="5"/>
  <c r="I201" i="5"/>
  <c r="H201" i="5"/>
  <c r="G201" i="5"/>
  <c r="F202" i="5"/>
  <c r="F201" i="5"/>
  <c r="E202" i="5"/>
  <c r="E201" i="5"/>
  <c r="D201" i="5"/>
  <c r="C202" i="5"/>
  <c r="C201" i="5"/>
  <c r="B201" i="5"/>
  <c r="A201" i="5"/>
  <c r="AB199" i="5"/>
  <c r="AA199" i="5"/>
  <c r="Z199" i="5"/>
  <c r="Y199" i="5"/>
  <c r="X199" i="5"/>
  <c r="W199" i="5"/>
  <c r="V199" i="5"/>
  <c r="U199" i="5"/>
  <c r="T199" i="5"/>
  <c r="K200" i="5"/>
  <c r="K199" i="5"/>
  <c r="J200" i="5"/>
  <c r="J199" i="5"/>
  <c r="I200" i="5"/>
  <c r="I199" i="5"/>
  <c r="H199" i="5"/>
  <c r="G199" i="5"/>
  <c r="F200" i="5"/>
  <c r="F199" i="5"/>
  <c r="E200" i="5"/>
  <c r="E199" i="5"/>
  <c r="D199" i="5"/>
  <c r="C200" i="5"/>
  <c r="B199" i="5"/>
  <c r="A199" i="5"/>
  <c r="G198" i="5"/>
  <c r="E198" i="5"/>
  <c r="H197" i="5"/>
  <c r="G197" i="5"/>
  <c r="F197" i="5"/>
  <c r="E197" i="5"/>
  <c r="D197" i="5"/>
  <c r="H196" i="5"/>
  <c r="G196" i="5"/>
  <c r="E196" i="5"/>
  <c r="D196" i="5"/>
  <c r="C189" i="5"/>
  <c r="AB187" i="5"/>
  <c r="AA187" i="5"/>
  <c r="Z187" i="5"/>
  <c r="Y187" i="5"/>
  <c r="X187" i="5"/>
  <c r="W187" i="5"/>
  <c r="V187" i="5"/>
  <c r="U187" i="5"/>
  <c r="T187" i="5"/>
  <c r="K188" i="5"/>
  <c r="K187" i="5"/>
  <c r="J188" i="5"/>
  <c r="J187" i="5"/>
  <c r="I188" i="5"/>
  <c r="I187" i="5"/>
  <c r="H187" i="5"/>
  <c r="G187" i="5"/>
  <c r="F188" i="5"/>
  <c r="F187" i="5"/>
  <c r="E188" i="5"/>
  <c r="E187" i="5"/>
  <c r="D187" i="5"/>
  <c r="C188" i="5"/>
  <c r="C187" i="5"/>
  <c r="B187" i="5"/>
  <c r="A187" i="5"/>
  <c r="AB185" i="5"/>
  <c r="AA185" i="5"/>
  <c r="Z185" i="5"/>
  <c r="Y185" i="5"/>
  <c r="X185" i="5"/>
  <c r="W185" i="5"/>
  <c r="V185" i="5"/>
  <c r="U185" i="5"/>
  <c r="T185" i="5"/>
  <c r="K186" i="5"/>
  <c r="K185" i="5"/>
  <c r="J186" i="5"/>
  <c r="J185" i="5"/>
  <c r="I186" i="5"/>
  <c r="I185" i="5"/>
  <c r="H185" i="5"/>
  <c r="G185" i="5"/>
  <c r="F186" i="5"/>
  <c r="F185" i="5"/>
  <c r="E186" i="5"/>
  <c r="E185" i="5"/>
  <c r="D185" i="5"/>
  <c r="C186" i="5"/>
  <c r="C185" i="5"/>
  <c r="B185" i="5"/>
  <c r="A185" i="5"/>
  <c r="AB183" i="5"/>
  <c r="AA183" i="5"/>
  <c r="Z183" i="5"/>
  <c r="Y183" i="5"/>
  <c r="X183" i="5"/>
  <c r="W183" i="5"/>
  <c r="V183" i="5"/>
  <c r="U183" i="5"/>
  <c r="T183" i="5"/>
  <c r="K184" i="5"/>
  <c r="K183" i="5"/>
  <c r="J184" i="5"/>
  <c r="J183" i="5"/>
  <c r="I184" i="5"/>
  <c r="I183" i="5"/>
  <c r="H183" i="5"/>
  <c r="G183" i="5"/>
  <c r="F184" i="5"/>
  <c r="F183" i="5"/>
  <c r="E184" i="5"/>
  <c r="E183" i="5"/>
  <c r="D183" i="5"/>
  <c r="C184" i="5"/>
  <c r="B183" i="5"/>
  <c r="A183" i="5"/>
  <c r="G182" i="5"/>
  <c r="E182" i="5"/>
  <c r="H181" i="5"/>
  <c r="G181" i="5"/>
  <c r="F181" i="5"/>
  <c r="E181" i="5"/>
  <c r="D181" i="5"/>
  <c r="H180" i="5"/>
  <c r="G180" i="5"/>
  <c r="E180" i="5"/>
  <c r="D180" i="5"/>
  <c r="C174" i="5"/>
  <c r="AB172" i="5"/>
  <c r="AA172" i="5"/>
  <c r="Z172" i="5"/>
  <c r="Y172" i="5"/>
  <c r="X172" i="5"/>
  <c r="W172" i="5"/>
  <c r="V172" i="5"/>
  <c r="U172" i="5"/>
  <c r="T172" i="5"/>
  <c r="K173" i="5"/>
  <c r="K172" i="5"/>
  <c r="J173" i="5"/>
  <c r="J172" i="5"/>
  <c r="I173" i="5"/>
  <c r="I172" i="5"/>
  <c r="H172" i="5"/>
  <c r="G172" i="5"/>
  <c r="F173" i="5"/>
  <c r="F172" i="5"/>
  <c r="E173" i="5"/>
  <c r="E172" i="5"/>
  <c r="D172" i="5"/>
  <c r="C173" i="5"/>
  <c r="C172" i="5"/>
  <c r="B172" i="5"/>
  <c r="A172" i="5"/>
  <c r="G171" i="5"/>
  <c r="E171" i="5"/>
  <c r="H170" i="5"/>
  <c r="G170" i="5"/>
  <c r="F170" i="5"/>
  <c r="E170" i="5"/>
  <c r="D170" i="5"/>
  <c r="H169" i="5"/>
  <c r="G169" i="5"/>
  <c r="E169" i="5"/>
  <c r="D169" i="5"/>
  <c r="C163" i="5"/>
  <c r="AB161" i="5"/>
  <c r="AA161" i="5"/>
  <c r="Z161" i="5"/>
  <c r="Y161" i="5"/>
  <c r="X161" i="5"/>
  <c r="W161" i="5"/>
  <c r="V161" i="5"/>
  <c r="U161" i="5"/>
  <c r="T161" i="5"/>
  <c r="K162" i="5"/>
  <c r="K161" i="5"/>
  <c r="J162" i="5"/>
  <c r="J161" i="5"/>
  <c r="I162" i="5"/>
  <c r="I161" i="5"/>
  <c r="H161" i="5"/>
  <c r="G161" i="5"/>
  <c r="F162" i="5"/>
  <c r="F161" i="5"/>
  <c r="E162" i="5"/>
  <c r="E161" i="5"/>
  <c r="D161" i="5"/>
  <c r="C162" i="5"/>
  <c r="C161" i="5"/>
  <c r="B161" i="5"/>
  <c r="A161" i="5"/>
  <c r="G160" i="5"/>
  <c r="E160" i="5"/>
  <c r="H159" i="5"/>
  <c r="G159" i="5"/>
  <c r="F159" i="5"/>
  <c r="E159" i="5"/>
  <c r="D159" i="5"/>
  <c r="H158" i="5"/>
  <c r="G158" i="5"/>
  <c r="E158" i="5"/>
  <c r="D158" i="5"/>
  <c r="C151" i="5"/>
  <c r="AB149" i="5"/>
  <c r="AA149" i="5"/>
  <c r="Z149" i="5"/>
  <c r="Y149" i="5"/>
  <c r="X149" i="5"/>
  <c r="W149" i="5"/>
  <c r="V149" i="5"/>
  <c r="U149" i="5"/>
  <c r="T149" i="5"/>
  <c r="K150" i="5"/>
  <c r="K149" i="5"/>
  <c r="J150" i="5"/>
  <c r="J149" i="5"/>
  <c r="I150" i="5"/>
  <c r="I149" i="5"/>
  <c r="H149" i="5"/>
  <c r="G149" i="5"/>
  <c r="F150" i="5"/>
  <c r="F149" i="5"/>
  <c r="E150" i="5"/>
  <c r="E149" i="5"/>
  <c r="D149" i="5"/>
  <c r="C150" i="5"/>
  <c r="C149" i="5"/>
  <c r="B149" i="5"/>
  <c r="A149" i="5"/>
  <c r="G148" i="5"/>
  <c r="E148" i="5"/>
  <c r="H147" i="5"/>
  <c r="G147" i="5"/>
  <c r="F147" i="5"/>
  <c r="E147" i="5"/>
  <c r="D147" i="5"/>
  <c r="H146" i="5"/>
  <c r="G146" i="5"/>
  <c r="E146" i="5"/>
  <c r="D146" i="5"/>
  <c r="C140" i="5"/>
  <c r="AB138" i="5"/>
  <c r="AA138" i="5"/>
  <c r="Z138" i="5"/>
  <c r="Y138" i="5"/>
  <c r="X138" i="5"/>
  <c r="W138" i="5"/>
  <c r="V138" i="5"/>
  <c r="U138" i="5"/>
  <c r="T138" i="5"/>
  <c r="K139" i="5"/>
  <c r="K138" i="5"/>
  <c r="J139" i="5"/>
  <c r="J138" i="5"/>
  <c r="I139" i="5"/>
  <c r="I138" i="5"/>
  <c r="H138" i="5"/>
  <c r="G138" i="5"/>
  <c r="F139" i="5"/>
  <c r="F138" i="5"/>
  <c r="E139" i="5"/>
  <c r="E138" i="5"/>
  <c r="D138" i="5"/>
  <c r="C139" i="5"/>
  <c r="C138" i="5"/>
  <c r="B138" i="5"/>
  <c r="A138" i="5"/>
  <c r="G137" i="5"/>
  <c r="E137" i="5"/>
  <c r="H136" i="5"/>
  <c r="G136" i="5"/>
  <c r="F136" i="5"/>
  <c r="E136" i="5"/>
  <c r="D136" i="5"/>
  <c r="H135" i="5"/>
  <c r="G135" i="5"/>
  <c r="E135" i="5"/>
  <c r="D135" i="5"/>
  <c r="C129" i="5"/>
  <c r="AB127" i="5"/>
  <c r="AA127" i="5"/>
  <c r="Z127" i="5"/>
  <c r="Y127" i="5"/>
  <c r="X127" i="5"/>
  <c r="W127" i="5"/>
  <c r="V127" i="5"/>
  <c r="U127" i="5"/>
  <c r="T127" i="5"/>
  <c r="K128" i="5"/>
  <c r="K127" i="5"/>
  <c r="J128" i="5"/>
  <c r="J127" i="5"/>
  <c r="I128" i="5"/>
  <c r="I127" i="5"/>
  <c r="H127" i="5"/>
  <c r="G127" i="5"/>
  <c r="F128" i="5"/>
  <c r="F127" i="5"/>
  <c r="E128" i="5"/>
  <c r="E127" i="5"/>
  <c r="D127" i="5"/>
  <c r="C128" i="5"/>
  <c r="C127" i="5"/>
  <c r="B127" i="5"/>
  <c r="A127" i="5"/>
  <c r="G126" i="5"/>
  <c r="E126" i="5"/>
  <c r="H125" i="5"/>
  <c r="G125" i="5"/>
  <c r="F125" i="5"/>
  <c r="E125" i="5"/>
  <c r="D125" i="5"/>
  <c r="H124" i="5"/>
  <c r="G124" i="5"/>
  <c r="E124" i="5"/>
  <c r="D124" i="5"/>
  <c r="C118" i="5"/>
  <c r="AB116" i="5"/>
  <c r="AA116" i="5"/>
  <c r="Z116" i="5"/>
  <c r="Y116" i="5"/>
  <c r="X116" i="5"/>
  <c r="W116" i="5"/>
  <c r="V116" i="5"/>
  <c r="U116" i="5"/>
  <c r="T116" i="5"/>
  <c r="K117" i="5"/>
  <c r="K116" i="5"/>
  <c r="J117" i="5"/>
  <c r="J116" i="5"/>
  <c r="I117" i="5"/>
  <c r="I116" i="5"/>
  <c r="H116" i="5"/>
  <c r="G116" i="5"/>
  <c r="F117" i="5"/>
  <c r="F116" i="5"/>
  <c r="E117" i="5"/>
  <c r="E116" i="5"/>
  <c r="D116" i="5"/>
  <c r="C117" i="5"/>
  <c r="C116" i="5"/>
  <c r="B116" i="5"/>
  <c r="A116" i="5"/>
  <c r="AB114" i="5"/>
  <c r="AA114" i="5"/>
  <c r="Z114" i="5"/>
  <c r="Y114" i="5"/>
  <c r="X114" i="5"/>
  <c r="W114" i="5"/>
  <c r="V114" i="5"/>
  <c r="U114" i="5"/>
  <c r="T114" i="5"/>
  <c r="K115" i="5"/>
  <c r="K114" i="5"/>
  <c r="J115" i="5"/>
  <c r="J114" i="5"/>
  <c r="I115" i="5"/>
  <c r="I114" i="5"/>
  <c r="H114" i="5"/>
  <c r="G114" i="5"/>
  <c r="F115" i="5"/>
  <c r="F114" i="5"/>
  <c r="E115" i="5"/>
  <c r="E114" i="5"/>
  <c r="D114" i="5"/>
  <c r="C115" i="5"/>
  <c r="C114" i="5"/>
  <c r="B114" i="5"/>
  <c r="A114" i="5"/>
  <c r="G113" i="5"/>
  <c r="E113" i="5"/>
  <c r="H112" i="5"/>
  <c r="G112" i="5"/>
  <c r="F112" i="5"/>
  <c r="E112" i="5"/>
  <c r="D112" i="5"/>
  <c r="H111" i="5"/>
  <c r="G111" i="5"/>
  <c r="E111" i="5"/>
  <c r="D111" i="5"/>
  <c r="C105" i="5"/>
  <c r="AB103" i="5"/>
  <c r="AA103" i="5"/>
  <c r="Z103" i="5"/>
  <c r="Y103" i="5"/>
  <c r="X103" i="5"/>
  <c r="W103" i="5"/>
  <c r="V103" i="5"/>
  <c r="U103" i="5"/>
  <c r="T103" i="5"/>
  <c r="K104" i="5"/>
  <c r="K103" i="5"/>
  <c r="J104" i="5"/>
  <c r="J103" i="5"/>
  <c r="I104" i="5"/>
  <c r="I103" i="5"/>
  <c r="H103" i="5"/>
  <c r="G103" i="5"/>
  <c r="F104" i="5"/>
  <c r="F103" i="5"/>
  <c r="E104" i="5"/>
  <c r="E103" i="5"/>
  <c r="D103" i="5"/>
  <c r="C104" i="5"/>
  <c r="C103" i="5"/>
  <c r="B103" i="5"/>
  <c r="A103" i="5"/>
  <c r="AB101" i="5"/>
  <c r="AA101" i="5"/>
  <c r="Z101" i="5"/>
  <c r="Y101" i="5"/>
  <c r="X101" i="5"/>
  <c r="W101" i="5"/>
  <c r="V101" i="5"/>
  <c r="U101" i="5"/>
  <c r="T101" i="5"/>
  <c r="K102" i="5"/>
  <c r="K101" i="5"/>
  <c r="J102" i="5"/>
  <c r="J101" i="5"/>
  <c r="I102" i="5"/>
  <c r="I101" i="5"/>
  <c r="H101" i="5"/>
  <c r="G101" i="5"/>
  <c r="F102" i="5"/>
  <c r="F101" i="5"/>
  <c r="E102" i="5"/>
  <c r="E101" i="5"/>
  <c r="D101" i="5"/>
  <c r="C102" i="5"/>
  <c r="C101" i="5"/>
  <c r="B101" i="5"/>
  <c r="A101" i="5"/>
  <c r="G100" i="5"/>
  <c r="E100" i="5"/>
  <c r="H99" i="5"/>
  <c r="G99" i="5"/>
  <c r="F99" i="5"/>
  <c r="E99" i="5"/>
  <c r="D99" i="5"/>
  <c r="H98" i="5"/>
  <c r="G98" i="5"/>
  <c r="E98" i="5"/>
  <c r="D98" i="5"/>
  <c r="C92" i="5"/>
  <c r="AB90" i="5"/>
  <c r="AA90" i="5"/>
  <c r="Z90" i="5"/>
  <c r="Y90" i="5"/>
  <c r="X90" i="5"/>
  <c r="W90" i="5"/>
  <c r="V90" i="5"/>
  <c r="U90" i="5"/>
  <c r="T90" i="5"/>
  <c r="K91" i="5"/>
  <c r="K90" i="5"/>
  <c r="J91" i="5"/>
  <c r="J90" i="5"/>
  <c r="I91" i="5"/>
  <c r="I90" i="5"/>
  <c r="H90" i="5"/>
  <c r="G90" i="5"/>
  <c r="F91" i="5"/>
  <c r="F90" i="5"/>
  <c r="E91" i="5"/>
  <c r="E90" i="5"/>
  <c r="D90" i="5"/>
  <c r="C91" i="5"/>
  <c r="C90" i="5"/>
  <c r="B90" i="5"/>
  <c r="A90" i="5"/>
  <c r="A89" i="5"/>
  <c r="A88" i="5"/>
  <c r="C83" i="5"/>
  <c r="AB80" i="5"/>
  <c r="AA80" i="5"/>
  <c r="Z80" i="5"/>
  <c r="Y80" i="5"/>
  <c r="X80" i="5"/>
  <c r="W80" i="5"/>
  <c r="V80" i="5"/>
  <c r="U80" i="5"/>
  <c r="T80" i="5"/>
  <c r="K81" i="5"/>
  <c r="K80" i="5"/>
  <c r="J81" i="5"/>
  <c r="J80" i="5"/>
  <c r="I81" i="5"/>
  <c r="I80" i="5"/>
  <c r="H80" i="5"/>
  <c r="G80" i="5"/>
  <c r="F81" i="5"/>
  <c r="F80" i="5"/>
  <c r="E81" i="5"/>
  <c r="E80" i="5"/>
  <c r="D80" i="5"/>
  <c r="C81" i="5"/>
  <c r="C80" i="5"/>
  <c r="B80" i="5"/>
  <c r="A80" i="5"/>
  <c r="C79" i="5"/>
  <c r="AB77" i="5"/>
  <c r="AA77" i="5"/>
  <c r="Z77" i="5"/>
  <c r="Y77" i="5"/>
  <c r="X77" i="5"/>
  <c r="W77" i="5"/>
  <c r="V77" i="5"/>
  <c r="U77" i="5"/>
  <c r="T77" i="5"/>
  <c r="K78" i="5"/>
  <c r="K77" i="5"/>
  <c r="J78" i="5"/>
  <c r="J77" i="5"/>
  <c r="I78" i="5"/>
  <c r="I77" i="5"/>
  <c r="H77" i="5"/>
  <c r="G77" i="5"/>
  <c r="F78" i="5"/>
  <c r="F77" i="5"/>
  <c r="E78" i="5"/>
  <c r="E77" i="5"/>
  <c r="D77" i="5"/>
  <c r="C78" i="5"/>
  <c r="C77" i="5"/>
  <c r="B77" i="5"/>
  <c r="A77" i="5"/>
  <c r="C76" i="5"/>
  <c r="AB74" i="5"/>
  <c r="AA74" i="5"/>
  <c r="Z74" i="5"/>
  <c r="Y74" i="5"/>
  <c r="X74" i="5"/>
  <c r="W74" i="5"/>
  <c r="V74" i="5"/>
  <c r="U74" i="5"/>
  <c r="T74" i="5"/>
  <c r="K75" i="5"/>
  <c r="K74" i="5"/>
  <c r="J75" i="5"/>
  <c r="J74" i="5"/>
  <c r="I75" i="5"/>
  <c r="I74" i="5"/>
  <c r="H74" i="5"/>
  <c r="G74" i="5"/>
  <c r="F75" i="5"/>
  <c r="F74" i="5"/>
  <c r="E75" i="5"/>
  <c r="E74" i="5"/>
  <c r="D74" i="5"/>
  <c r="C75" i="5"/>
  <c r="C74" i="5"/>
  <c r="B74" i="5"/>
  <c r="A74" i="5"/>
  <c r="G73" i="5"/>
  <c r="E73" i="5"/>
  <c r="H72" i="5"/>
  <c r="G72" i="5"/>
  <c r="E72" i="5"/>
  <c r="D72" i="5"/>
  <c r="H71" i="5"/>
  <c r="G71" i="5"/>
  <c r="E71" i="5"/>
  <c r="D71" i="5"/>
  <c r="C70" i="5"/>
  <c r="AB68" i="5"/>
  <c r="AA68" i="5"/>
  <c r="Z68" i="5"/>
  <c r="Y68" i="5"/>
  <c r="X68" i="5"/>
  <c r="W68" i="5"/>
  <c r="V68" i="5"/>
  <c r="U68" i="5"/>
  <c r="T68" i="5"/>
  <c r="K69" i="5"/>
  <c r="K68" i="5"/>
  <c r="J69" i="5"/>
  <c r="J68" i="5"/>
  <c r="I69" i="5"/>
  <c r="I68" i="5"/>
  <c r="H68" i="5"/>
  <c r="G68" i="5"/>
  <c r="F69" i="5"/>
  <c r="F68" i="5"/>
  <c r="E69" i="5"/>
  <c r="E68" i="5"/>
  <c r="D68" i="5"/>
  <c r="C69" i="5"/>
  <c r="C68" i="5"/>
  <c r="B68" i="5"/>
  <c r="A68" i="5"/>
  <c r="G67" i="5"/>
  <c r="E67" i="5"/>
  <c r="H66" i="5"/>
  <c r="G66" i="5"/>
  <c r="F66" i="5"/>
  <c r="E66" i="5"/>
  <c r="D66" i="5"/>
  <c r="H65" i="5"/>
  <c r="G65" i="5"/>
  <c r="E65" i="5"/>
  <c r="D65" i="5"/>
  <c r="C64" i="5"/>
  <c r="AB62" i="5"/>
  <c r="AA62" i="5"/>
  <c r="Z62" i="5"/>
  <c r="Y62" i="5"/>
  <c r="X62" i="5"/>
  <c r="W62" i="5"/>
  <c r="V62" i="5"/>
  <c r="U62" i="5"/>
  <c r="T62" i="5"/>
  <c r="K63" i="5"/>
  <c r="K62" i="5"/>
  <c r="J63" i="5"/>
  <c r="J62" i="5"/>
  <c r="I63" i="5"/>
  <c r="I62" i="5"/>
  <c r="H62" i="5"/>
  <c r="G62" i="5"/>
  <c r="F63" i="5"/>
  <c r="F62" i="5"/>
  <c r="E63" i="5"/>
  <c r="E62" i="5"/>
  <c r="D62" i="5"/>
  <c r="C63" i="5"/>
  <c r="C62" i="5"/>
  <c r="B62" i="5"/>
  <c r="A62" i="5"/>
  <c r="C61" i="5"/>
  <c r="AB59" i="5"/>
  <c r="AA59" i="5"/>
  <c r="Z59" i="5"/>
  <c r="Y59" i="5"/>
  <c r="X59" i="5"/>
  <c r="W59" i="5"/>
  <c r="V59" i="5"/>
  <c r="U59" i="5"/>
  <c r="T59" i="5"/>
  <c r="K60" i="5"/>
  <c r="K59" i="5"/>
  <c r="J60" i="5"/>
  <c r="J59" i="5"/>
  <c r="I60" i="5"/>
  <c r="I59" i="5"/>
  <c r="H59" i="5"/>
  <c r="G59" i="5"/>
  <c r="F60" i="5"/>
  <c r="F59" i="5"/>
  <c r="E60" i="5"/>
  <c r="E59" i="5"/>
  <c r="D59" i="5"/>
  <c r="C60" i="5"/>
  <c r="C59" i="5"/>
  <c r="B59" i="5"/>
  <c r="A59" i="5"/>
  <c r="G58" i="5"/>
  <c r="E58" i="5"/>
  <c r="H57" i="5"/>
  <c r="G57" i="5"/>
  <c r="F57" i="5"/>
  <c r="E57" i="5"/>
  <c r="D57" i="5"/>
  <c r="H56" i="5"/>
  <c r="G56" i="5"/>
  <c r="E56" i="5"/>
  <c r="D56" i="5"/>
  <c r="C50" i="5"/>
  <c r="AB48" i="5"/>
  <c r="AA48" i="5"/>
  <c r="Z48" i="5"/>
  <c r="Y48" i="5"/>
  <c r="X48" i="5"/>
  <c r="W48" i="5"/>
  <c r="V48" i="5"/>
  <c r="U48" i="5"/>
  <c r="T48" i="5"/>
  <c r="K49" i="5"/>
  <c r="K48" i="5"/>
  <c r="J49" i="5"/>
  <c r="J48" i="5"/>
  <c r="I49" i="5"/>
  <c r="I48" i="5"/>
  <c r="H48" i="5"/>
  <c r="G48" i="5"/>
  <c r="F49" i="5"/>
  <c r="F48" i="5"/>
  <c r="E49" i="5"/>
  <c r="E48" i="5"/>
  <c r="D48" i="5"/>
  <c r="C49" i="5"/>
  <c r="C48" i="5"/>
  <c r="B48" i="5"/>
  <c r="A48" i="5"/>
  <c r="G47" i="5"/>
  <c r="E47" i="5"/>
  <c r="H46" i="5"/>
  <c r="G46" i="5"/>
  <c r="E46" i="5"/>
  <c r="D46" i="5"/>
  <c r="H45" i="5"/>
  <c r="G45" i="5"/>
  <c r="E45" i="5"/>
  <c r="D45" i="5"/>
  <c r="C44" i="5"/>
  <c r="AB42" i="5"/>
  <c r="AA42" i="5"/>
  <c r="Z42" i="5"/>
  <c r="Y42" i="5"/>
  <c r="X42" i="5"/>
  <c r="W42" i="5"/>
  <c r="V42" i="5"/>
  <c r="U42" i="5"/>
  <c r="T42" i="5"/>
  <c r="K43" i="5"/>
  <c r="K42" i="5"/>
  <c r="J43" i="5"/>
  <c r="J42" i="5"/>
  <c r="I43" i="5"/>
  <c r="I42" i="5"/>
  <c r="H42" i="5"/>
  <c r="G42" i="5"/>
  <c r="F43" i="5"/>
  <c r="F42" i="5"/>
  <c r="E43" i="5"/>
  <c r="E42" i="5"/>
  <c r="D42" i="5"/>
  <c r="C43" i="5"/>
  <c r="C42" i="5"/>
  <c r="B42" i="5"/>
  <c r="A42" i="5"/>
  <c r="AB40" i="5"/>
  <c r="AA40" i="5"/>
  <c r="Z40" i="5"/>
  <c r="Y40" i="5"/>
  <c r="X40" i="5"/>
  <c r="W40" i="5"/>
  <c r="V40" i="5"/>
  <c r="U40" i="5"/>
  <c r="T40" i="5"/>
  <c r="K41" i="5"/>
  <c r="K40" i="5"/>
  <c r="J41" i="5"/>
  <c r="J40" i="5"/>
  <c r="I41" i="5"/>
  <c r="I40" i="5"/>
  <c r="H40" i="5"/>
  <c r="G40" i="5"/>
  <c r="F41" i="5"/>
  <c r="F40" i="5"/>
  <c r="E41" i="5"/>
  <c r="E40" i="5"/>
  <c r="D40" i="5"/>
  <c r="C41" i="5"/>
  <c r="C40" i="5"/>
  <c r="B40" i="5"/>
  <c r="A40" i="5"/>
  <c r="C39" i="5"/>
  <c r="AB37" i="5"/>
  <c r="AA37" i="5"/>
  <c r="Z37" i="5"/>
  <c r="Y37" i="5"/>
  <c r="X37" i="5"/>
  <c r="W37" i="5"/>
  <c r="V37" i="5"/>
  <c r="U37" i="5"/>
  <c r="T37" i="5"/>
  <c r="K38" i="5"/>
  <c r="K37" i="5"/>
  <c r="J38" i="5"/>
  <c r="J37" i="5"/>
  <c r="I38" i="5"/>
  <c r="I37" i="5"/>
  <c r="H37" i="5"/>
  <c r="G37" i="5"/>
  <c r="F38" i="5"/>
  <c r="F37" i="5"/>
  <c r="E38" i="5"/>
  <c r="E37" i="5"/>
  <c r="D37" i="5"/>
  <c r="C38" i="5"/>
  <c r="C37" i="5"/>
  <c r="B37" i="5"/>
  <c r="A37" i="5"/>
  <c r="G36" i="5"/>
  <c r="E36" i="5"/>
  <c r="H35" i="5"/>
  <c r="G35" i="5"/>
  <c r="F35" i="5"/>
  <c r="E35" i="5"/>
  <c r="D35" i="5"/>
  <c r="H34" i="5"/>
  <c r="G34" i="5"/>
  <c r="E34" i="5"/>
  <c r="D34" i="5"/>
  <c r="C33" i="5"/>
  <c r="AB31" i="5"/>
  <c r="AA31" i="5"/>
  <c r="Z31" i="5"/>
  <c r="Y31" i="5"/>
  <c r="X31" i="5"/>
  <c r="W31" i="5"/>
  <c r="V31" i="5"/>
  <c r="U31" i="5"/>
  <c r="T31" i="5"/>
  <c r="K32" i="5"/>
  <c r="K31" i="5"/>
  <c r="J32" i="5"/>
  <c r="J31" i="5"/>
  <c r="I32" i="5"/>
  <c r="I31" i="5"/>
  <c r="H31" i="5"/>
  <c r="G31" i="5"/>
  <c r="F32" i="5"/>
  <c r="F31" i="5"/>
  <c r="E32" i="5"/>
  <c r="E31" i="5"/>
  <c r="D31" i="5"/>
  <c r="C32" i="5"/>
  <c r="C31" i="5"/>
  <c r="B31" i="5"/>
  <c r="A31" i="5"/>
  <c r="G30" i="5"/>
  <c r="E30" i="5"/>
  <c r="H29" i="5"/>
  <c r="G29" i="5"/>
  <c r="E29" i="5"/>
  <c r="D29" i="5"/>
  <c r="H28" i="5"/>
  <c r="G28" i="5"/>
  <c r="E28" i="5"/>
  <c r="D28" i="5"/>
  <c r="AB26" i="5"/>
  <c r="AA26" i="5"/>
  <c r="Z26" i="5"/>
  <c r="Y26" i="5"/>
  <c r="X26" i="5"/>
  <c r="W26" i="5"/>
  <c r="V26" i="5"/>
  <c r="U26" i="5"/>
  <c r="T26" i="5"/>
  <c r="K27" i="5"/>
  <c r="K26" i="5"/>
  <c r="J27" i="5"/>
  <c r="J26" i="5"/>
  <c r="I27" i="5"/>
  <c r="I26" i="5"/>
  <c r="H26" i="5"/>
  <c r="G26" i="5"/>
  <c r="F27" i="5"/>
  <c r="F26" i="5"/>
  <c r="E27" i="5"/>
  <c r="E26" i="5"/>
  <c r="D26" i="5"/>
  <c r="C27" i="5"/>
  <c r="C26" i="5"/>
  <c r="B26" i="5"/>
  <c r="A26" i="5"/>
  <c r="A25" i="5"/>
  <c r="A23" i="5"/>
  <c r="I204" i="5" l="1"/>
  <c r="K264" i="5"/>
  <c r="G434" i="5"/>
  <c r="I477" i="5"/>
  <c r="K476" i="5"/>
  <c r="G204" i="5"/>
  <c r="I205" i="5"/>
  <c r="H264" i="5"/>
  <c r="K265" i="5"/>
  <c r="I393" i="5"/>
  <c r="I434" i="5"/>
  <c r="I476" i="5"/>
  <c r="G476" i="5"/>
  <c r="K204" i="5"/>
  <c r="H204" i="5"/>
  <c r="K205" i="5"/>
  <c r="I264" i="5"/>
  <c r="H332" i="5"/>
  <c r="K333" i="5"/>
  <c r="G393" i="5"/>
  <c r="I394" i="5"/>
  <c r="K482" i="5"/>
  <c r="I332" i="5"/>
  <c r="K332" i="5"/>
  <c r="G332" i="5"/>
  <c r="K393" i="5"/>
  <c r="K434" i="5"/>
  <c r="I435" i="5"/>
  <c r="H481" i="5"/>
  <c r="I83" i="5"/>
  <c r="I481" i="5"/>
  <c r="H83" i="5"/>
  <c r="I84" i="5"/>
  <c r="I482" i="5"/>
  <c r="K84" i="5"/>
  <c r="G83" i="5"/>
  <c r="K83" i="5"/>
  <c r="G481" i="5"/>
  <c r="K481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1" i="3"/>
  <c r="CY1" i="3"/>
  <c r="CZ1" i="3"/>
  <c r="DA1" i="3"/>
  <c r="DB1" i="3"/>
  <c r="DC1" i="3"/>
  <c r="A2" i="3"/>
  <c r="CY2" i="3"/>
  <c r="CZ2" i="3"/>
  <c r="DB2" i="3" s="1"/>
  <c r="DA2" i="3"/>
  <c r="DC2" i="3"/>
  <c r="A3" i="3"/>
  <c r="CY3" i="3"/>
  <c r="CZ3" i="3"/>
  <c r="DB3" i="3" s="1"/>
  <c r="DA3" i="3"/>
  <c r="DC3" i="3"/>
  <c r="A4" i="3"/>
  <c r="CY4" i="3"/>
  <c r="CZ4" i="3"/>
  <c r="DA4" i="3"/>
  <c r="DB4" i="3"/>
  <c r="DC4" i="3"/>
  <c r="A5" i="3"/>
  <c r="CY5" i="3"/>
  <c r="CZ5" i="3"/>
  <c r="DA5" i="3"/>
  <c r="DB5" i="3"/>
  <c r="DC5" i="3"/>
  <c r="A6" i="3"/>
  <c r="CY6" i="3"/>
  <c r="CZ6" i="3"/>
  <c r="DB6" i="3" s="1"/>
  <c r="DA6" i="3"/>
  <c r="DC6" i="3"/>
  <c r="A7" i="3"/>
  <c r="CY7" i="3"/>
  <c r="CZ7" i="3"/>
  <c r="DB7" i="3" s="1"/>
  <c r="DA7" i="3"/>
  <c r="DC7" i="3"/>
  <c r="A8" i="3"/>
  <c r="CY8" i="3"/>
  <c r="CZ8" i="3"/>
  <c r="DA8" i="3"/>
  <c r="DB8" i="3"/>
  <c r="DC8" i="3"/>
  <c r="A9" i="3"/>
  <c r="CY9" i="3"/>
  <c r="CZ9" i="3"/>
  <c r="DA9" i="3"/>
  <c r="DB9" i="3"/>
  <c r="DC9" i="3"/>
  <c r="A10" i="3"/>
  <c r="CY10" i="3"/>
  <c r="CZ10" i="3"/>
  <c r="DB10" i="3" s="1"/>
  <c r="DA10" i="3"/>
  <c r="DC10" i="3"/>
  <c r="A11" i="3"/>
  <c r="CY11" i="3"/>
  <c r="CZ11" i="3"/>
  <c r="DB11" i="3" s="1"/>
  <c r="DA11" i="3"/>
  <c r="DC11" i="3"/>
  <c r="A12" i="3"/>
  <c r="CY12" i="3"/>
  <c r="CZ12" i="3"/>
  <c r="DA12" i="3"/>
  <c r="DB12" i="3"/>
  <c r="DC12" i="3"/>
  <c r="A13" i="3"/>
  <c r="CY13" i="3"/>
  <c r="CZ13" i="3"/>
  <c r="DA13" i="3"/>
  <c r="DB13" i="3"/>
  <c r="DC13" i="3"/>
  <c r="A14" i="3"/>
  <c r="CY14" i="3"/>
  <c r="CZ14" i="3"/>
  <c r="DB14" i="3" s="1"/>
  <c r="DA14" i="3"/>
  <c r="DC14" i="3"/>
  <c r="A15" i="3"/>
  <c r="CY15" i="3"/>
  <c r="CZ15" i="3"/>
  <c r="DB15" i="3" s="1"/>
  <c r="DA15" i="3"/>
  <c r="DC15" i="3"/>
  <c r="A16" i="3"/>
  <c r="CY16" i="3"/>
  <c r="CZ16" i="3"/>
  <c r="DA16" i="3"/>
  <c r="DB16" i="3"/>
  <c r="DC16" i="3"/>
  <c r="A17" i="3"/>
  <c r="CY17" i="3"/>
  <c r="CZ17" i="3"/>
  <c r="DA17" i="3"/>
  <c r="DB17" i="3"/>
  <c r="DC17" i="3"/>
  <c r="A18" i="3"/>
  <c r="CY18" i="3"/>
  <c r="CZ18" i="3"/>
  <c r="DB18" i="3" s="1"/>
  <c r="DA18" i="3"/>
  <c r="DC18" i="3"/>
  <c r="A19" i="3"/>
  <c r="CY19" i="3"/>
  <c r="CZ19" i="3"/>
  <c r="DB19" i="3" s="1"/>
  <c r="DA19" i="3"/>
  <c r="DC19" i="3"/>
  <c r="A20" i="3"/>
  <c r="CY20" i="3"/>
  <c r="CZ20" i="3"/>
  <c r="DA20" i="3"/>
  <c r="DB20" i="3"/>
  <c r="DC20" i="3"/>
  <c r="A21" i="3"/>
  <c r="CY21" i="3"/>
  <c r="CZ21" i="3"/>
  <c r="DA21" i="3"/>
  <c r="DB21" i="3"/>
  <c r="DC21" i="3"/>
  <c r="A22" i="3"/>
  <c r="CY22" i="3"/>
  <c r="CZ22" i="3"/>
  <c r="DB22" i="3" s="1"/>
  <c r="DA22" i="3"/>
  <c r="DC22" i="3"/>
  <c r="A23" i="3"/>
  <c r="CY23" i="3"/>
  <c r="CZ23" i="3"/>
  <c r="DB23" i="3" s="1"/>
  <c r="DA23" i="3"/>
  <c r="DC23" i="3"/>
  <c r="A24" i="3"/>
  <c r="CY24" i="3"/>
  <c r="CZ24" i="3"/>
  <c r="DA24" i="3"/>
  <c r="DB24" i="3"/>
  <c r="DC24" i="3"/>
  <c r="A25" i="3"/>
  <c r="CY25" i="3"/>
  <c r="CZ25" i="3"/>
  <c r="DA25" i="3"/>
  <c r="DB25" i="3"/>
  <c r="DC25" i="3"/>
  <c r="A26" i="3"/>
  <c r="CY26" i="3"/>
  <c r="CZ26" i="3"/>
  <c r="DB26" i="3" s="1"/>
  <c r="DA26" i="3"/>
  <c r="DC26" i="3"/>
  <c r="A27" i="3"/>
  <c r="CY27" i="3"/>
  <c r="CZ27" i="3"/>
  <c r="DB27" i="3" s="1"/>
  <c r="DA27" i="3"/>
  <c r="DC27" i="3"/>
  <c r="A28" i="3"/>
  <c r="CY28" i="3"/>
  <c r="CZ28" i="3"/>
  <c r="DA28" i="3"/>
  <c r="DB28" i="3"/>
  <c r="DC28" i="3"/>
  <c r="A29" i="3"/>
  <c r="CY29" i="3"/>
  <c r="CZ29" i="3"/>
  <c r="DA29" i="3"/>
  <c r="DB29" i="3"/>
  <c r="DC29" i="3"/>
  <c r="A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Y32" i="3"/>
  <c r="CZ32" i="3"/>
  <c r="DA32" i="3"/>
  <c r="DB32" i="3"/>
  <c r="DC32" i="3"/>
  <c r="A33" i="3"/>
  <c r="CY33" i="3"/>
  <c r="CZ33" i="3"/>
  <c r="DA33" i="3"/>
  <c r="DB33" i="3"/>
  <c r="DC33" i="3"/>
  <c r="A34" i="3"/>
  <c r="CY34" i="3"/>
  <c r="CZ34" i="3"/>
  <c r="DB34" i="3" s="1"/>
  <c r="DA34" i="3"/>
  <c r="DC34" i="3"/>
  <c r="A35" i="3"/>
  <c r="CY35" i="3"/>
  <c r="CZ35" i="3"/>
  <c r="DB35" i="3" s="1"/>
  <c r="DA35" i="3"/>
  <c r="DC35" i="3"/>
  <c r="A36" i="3"/>
  <c r="CY36" i="3"/>
  <c r="CZ36" i="3"/>
  <c r="DA36" i="3"/>
  <c r="DB36" i="3"/>
  <c r="DC36" i="3"/>
  <c r="A37" i="3"/>
  <c r="CY37" i="3"/>
  <c r="CZ37" i="3"/>
  <c r="DA37" i="3"/>
  <c r="DB37" i="3"/>
  <c r="DC37" i="3"/>
  <c r="A38" i="3"/>
  <c r="CY38" i="3"/>
  <c r="CZ38" i="3"/>
  <c r="DB38" i="3" s="1"/>
  <c r="DA38" i="3"/>
  <c r="DC38" i="3"/>
  <c r="A39" i="3"/>
  <c r="CY39" i="3"/>
  <c r="CZ39" i="3"/>
  <c r="DB39" i="3" s="1"/>
  <c r="DA39" i="3"/>
  <c r="DC39" i="3"/>
  <c r="A40" i="3"/>
  <c r="CY40" i="3"/>
  <c r="CZ40" i="3"/>
  <c r="DA40" i="3"/>
  <c r="DB40" i="3"/>
  <c r="DC40" i="3"/>
  <c r="A41" i="3"/>
  <c r="CY41" i="3"/>
  <c r="CZ41" i="3"/>
  <c r="DA41" i="3"/>
  <c r="DB41" i="3"/>
  <c r="DC41" i="3"/>
  <c r="A42" i="3"/>
  <c r="CY42" i="3"/>
  <c r="CZ42" i="3"/>
  <c r="DB42" i="3" s="1"/>
  <c r="DA42" i="3"/>
  <c r="DC42" i="3"/>
  <c r="A43" i="3"/>
  <c r="CY43" i="3"/>
  <c r="CZ43" i="3"/>
  <c r="DB43" i="3" s="1"/>
  <c r="DA43" i="3"/>
  <c r="DC43" i="3"/>
  <c r="A44" i="3"/>
  <c r="CY44" i="3"/>
  <c r="CZ44" i="3"/>
  <c r="DA44" i="3"/>
  <c r="DB44" i="3"/>
  <c r="DC44" i="3"/>
  <c r="A45" i="3"/>
  <c r="CY45" i="3"/>
  <c r="CZ45" i="3"/>
  <c r="DA45" i="3"/>
  <c r="DB45" i="3"/>
  <c r="DC45" i="3"/>
  <c r="A46" i="3"/>
  <c r="CY46" i="3"/>
  <c r="CZ46" i="3"/>
  <c r="DB46" i="3" s="1"/>
  <c r="DA46" i="3"/>
  <c r="DC46" i="3"/>
  <c r="A47" i="3"/>
  <c r="CY47" i="3"/>
  <c r="CZ47" i="3"/>
  <c r="DB47" i="3" s="1"/>
  <c r="DA47" i="3"/>
  <c r="DC47" i="3"/>
  <c r="A48" i="3"/>
  <c r="CY48" i="3"/>
  <c r="CZ48" i="3"/>
  <c r="DA48" i="3"/>
  <c r="DB48" i="3"/>
  <c r="DC48" i="3"/>
  <c r="A49" i="3"/>
  <c r="CY49" i="3"/>
  <c r="CZ49" i="3"/>
  <c r="DA49" i="3"/>
  <c r="DB49" i="3"/>
  <c r="DC49" i="3"/>
  <c r="A50" i="3"/>
  <c r="CY50" i="3"/>
  <c r="CZ50" i="3"/>
  <c r="DB50" i="3" s="1"/>
  <c r="DA50" i="3"/>
  <c r="DC50" i="3"/>
  <c r="A51" i="3"/>
  <c r="CY51" i="3"/>
  <c r="CZ51" i="3"/>
  <c r="DB51" i="3" s="1"/>
  <c r="DA51" i="3"/>
  <c r="DC51" i="3"/>
  <c r="A52" i="3"/>
  <c r="CY52" i="3"/>
  <c r="CZ52" i="3"/>
  <c r="DA52" i="3"/>
  <c r="DB52" i="3"/>
  <c r="DC52" i="3"/>
  <c r="A53" i="3"/>
  <c r="CY53" i="3"/>
  <c r="CZ53" i="3"/>
  <c r="DA53" i="3"/>
  <c r="DB53" i="3"/>
  <c r="DC53" i="3"/>
  <c r="A54" i="3"/>
  <c r="CY54" i="3"/>
  <c r="CZ54" i="3"/>
  <c r="DB54" i="3" s="1"/>
  <c r="DA54" i="3"/>
  <c r="DC54" i="3"/>
  <c r="A55" i="3"/>
  <c r="CY55" i="3"/>
  <c r="CZ55" i="3"/>
  <c r="DB55" i="3" s="1"/>
  <c r="DA55" i="3"/>
  <c r="DC55" i="3"/>
  <c r="A56" i="3"/>
  <c r="CY56" i="3"/>
  <c r="CZ56" i="3"/>
  <c r="DA56" i="3"/>
  <c r="DB56" i="3"/>
  <c r="DC56" i="3"/>
  <c r="A57" i="3"/>
  <c r="CY57" i="3"/>
  <c r="CZ57" i="3"/>
  <c r="DA57" i="3"/>
  <c r="DB57" i="3"/>
  <c r="DC57" i="3"/>
  <c r="A58" i="3"/>
  <c r="CY58" i="3"/>
  <c r="CZ58" i="3"/>
  <c r="DB58" i="3" s="1"/>
  <c r="DA58" i="3"/>
  <c r="DC58" i="3"/>
  <c r="A59" i="3"/>
  <c r="CY59" i="3"/>
  <c r="CZ59" i="3"/>
  <c r="DB59" i="3" s="1"/>
  <c r="DA59" i="3"/>
  <c r="DC59" i="3"/>
  <c r="A60" i="3"/>
  <c r="CY60" i="3"/>
  <c r="CZ60" i="3"/>
  <c r="DA60" i="3"/>
  <c r="DB60" i="3"/>
  <c r="DC60" i="3"/>
  <c r="A61" i="3"/>
  <c r="CY61" i="3"/>
  <c r="CZ61" i="3"/>
  <c r="DA61" i="3"/>
  <c r="DB61" i="3"/>
  <c r="DC61" i="3"/>
  <c r="A62" i="3"/>
  <c r="CY62" i="3"/>
  <c r="CZ62" i="3"/>
  <c r="DB62" i="3" s="1"/>
  <c r="DA62" i="3"/>
  <c r="DC62" i="3"/>
  <c r="A63" i="3"/>
  <c r="CY63" i="3"/>
  <c r="CZ63" i="3"/>
  <c r="DB63" i="3" s="1"/>
  <c r="DA63" i="3"/>
  <c r="DC63" i="3"/>
  <c r="A64" i="3"/>
  <c r="CY64" i="3"/>
  <c r="CZ64" i="3"/>
  <c r="DA64" i="3"/>
  <c r="DB64" i="3"/>
  <c r="DC64" i="3"/>
  <c r="A65" i="3"/>
  <c r="CY65" i="3"/>
  <c r="CZ65" i="3"/>
  <c r="DA65" i="3"/>
  <c r="DB65" i="3"/>
  <c r="DC65" i="3"/>
  <c r="A66" i="3"/>
  <c r="CY66" i="3"/>
  <c r="CZ66" i="3"/>
  <c r="DB66" i="3" s="1"/>
  <c r="DA66" i="3"/>
  <c r="DC66" i="3"/>
  <c r="A67" i="3"/>
  <c r="CY67" i="3"/>
  <c r="CZ67" i="3"/>
  <c r="DB67" i="3" s="1"/>
  <c r="DA67" i="3"/>
  <c r="DC67" i="3"/>
  <c r="A68" i="3"/>
  <c r="CY68" i="3"/>
  <c r="CZ68" i="3"/>
  <c r="DA68" i="3"/>
  <c r="DB68" i="3"/>
  <c r="DC68" i="3"/>
  <c r="A69" i="3"/>
  <c r="CY69" i="3"/>
  <c r="CZ69" i="3"/>
  <c r="DA69" i="3"/>
  <c r="DB69" i="3"/>
  <c r="DC69" i="3"/>
  <c r="A70" i="3"/>
  <c r="CY70" i="3"/>
  <c r="CZ70" i="3"/>
  <c r="DB70" i="3" s="1"/>
  <c r="DA70" i="3"/>
  <c r="DC70" i="3"/>
  <c r="A71" i="3"/>
  <c r="CY71" i="3"/>
  <c r="CZ71" i="3"/>
  <c r="DB71" i="3" s="1"/>
  <c r="DA71" i="3"/>
  <c r="DC71" i="3"/>
  <c r="A72" i="3"/>
  <c r="CY72" i="3"/>
  <c r="CZ72" i="3"/>
  <c r="DA72" i="3"/>
  <c r="DB72" i="3"/>
  <c r="DC72" i="3"/>
  <c r="A73" i="3"/>
  <c r="CY73" i="3"/>
  <c r="CZ73" i="3"/>
  <c r="DA73" i="3"/>
  <c r="DB73" i="3"/>
  <c r="DC73" i="3"/>
  <c r="A74" i="3"/>
  <c r="CY74" i="3"/>
  <c r="CZ74" i="3"/>
  <c r="DB74" i="3" s="1"/>
  <c r="DA74" i="3"/>
  <c r="DC74" i="3"/>
  <c r="A75" i="3"/>
  <c r="CY75" i="3"/>
  <c r="CZ75" i="3"/>
  <c r="DB75" i="3" s="1"/>
  <c r="DA75" i="3"/>
  <c r="DC75" i="3"/>
  <c r="A76" i="3"/>
  <c r="CY76" i="3"/>
  <c r="CZ76" i="3"/>
  <c r="DA76" i="3"/>
  <c r="DB76" i="3"/>
  <c r="DC76" i="3"/>
  <c r="A77" i="3"/>
  <c r="CY77" i="3"/>
  <c r="CZ77" i="3"/>
  <c r="DA77" i="3"/>
  <c r="DB77" i="3"/>
  <c r="DC77" i="3"/>
  <c r="A78" i="3"/>
  <c r="CY78" i="3"/>
  <c r="CZ78" i="3"/>
  <c r="DB78" i="3" s="1"/>
  <c r="DA78" i="3"/>
  <c r="DC78" i="3"/>
  <c r="A79" i="3"/>
  <c r="CY79" i="3"/>
  <c r="CZ79" i="3"/>
  <c r="DB79" i="3" s="1"/>
  <c r="DA79" i="3"/>
  <c r="DC79" i="3"/>
  <c r="A80" i="3"/>
  <c r="CY80" i="3"/>
  <c r="CZ80" i="3"/>
  <c r="DA80" i="3"/>
  <c r="DB80" i="3"/>
  <c r="DC80" i="3"/>
  <c r="A81" i="3"/>
  <c r="CY81" i="3"/>
  <c r="CZ81" i="3"/>
  <c r="DA81" i="3"/>
  <c r="DB81" i="3"/>
  <c r="DC81" i="3"/>
  <c r="A82" i="3"/>
  <c r="CY82" i="3"/>
  <c r="CZ82" i="3"/>
  <c r="DB82" i="3" s="1"/>
  <c r="DA82" i="3"/>
  <c r="DC82" i="3"/>
  <c r="A83" i="3"/>
  <c r="CY83" i="3"/>
  <c r="CZ83" i="3"/>
  <c r="DB83" i="3" s="1"/>
  <c r="DA83" i="3"/>
  <c r="DC83" i="3"/>
  <c r="A84" i="3"/>
  <c r="CY84" i="3"/>
  <c r="CZ84" i="3"/>
  <c r="DA84" i="3"/>
  <c r="DB84" i="3"/>
  <c r="DC84" i="3"/>
  <c r="A85" i="3"/>
  <c r="CY85" i="3"/>
  <c r="CZ85" i="3"/>
  <c r="DA85" i="3"/>
  <c r="DB85" i="3"/>
  <c r="DC85" i="3"/>
  <c r="A86" i="3"/>
  <c r="CY86" i="3"/>
  <c r="CZ86" i="3"/>
  <c r="DB86" i="3" s="1"/>
  <c r="DA86" i="3"/>
  <c r="DC86" i="3"/>
  <c r="A87" i="3"/>
  <c r="CY87" i="3"/>
  <c r="CZ87" i="3"/>
  <c r="DB87" i="3" s="1"/>
  <c r="DA87" i="3"/>
  <c r="DC87" i="3"/>
  <c r="A88" i="3"/>
  <c r="CY88" i="3"/>
  <c r="CZ88" i="3"/>
  <c r="DA88" i="3"/>
  <c r="DB88" i="3"/>
  <c r="DC88" i="3"/>
  <c r="A89" i="3"/>
  <c r="CY89" i="3"/>
  <c r="CZ89" i="3"/>
  <c r="DA89" i="3"/>
  <c r="DB89" i="3"/>
  <c r="DC89" i="3"/>
  <c r="A90" i="3"/>
  <c r="CY90" i="3"/>
  <c r="CZ90" i="3"/>
  <c r="DB90" i="3" s="1"/>
  <c r="DA90" i="3"/>
  <c r="DC90" i="3"/>
  <c r="A91" i="3"/>
  <c r="CY91" i="3"/>
  <c r="CZ91" i="3"/>
  <c r="DB91" i="3" s="1"/>
  <c r="DA91" i="3"/>
  <c r="DC91" i="3"/>
  <c r="A92" i="3"/>
  <c r="CY92" i="3"/>
  <c r="CZ92" i="3"/>
  <c r="DA92" i="3"/>
  <c r="DB92" i="3"/>
  <c r="DC92" i="3"/>
  <c r="A93" i="3"/>
  <c r="CY93" i="3"/>
  <c r="CZ93" i="3"/>
  <c r="DA93" i="3"/>
  <c r="DB93" i="3"/>
  <c r="DC93" i="3"/>
  <c r="A94" i="3"/>
  <c r="CY94" i="3"/>
  <c r="CZ94" i="3"/>
  <c r="DB94" i="3" s="1"/>
  <c r="DA94" i="3"/>
  <c r="DC94" i="3"/>
  <c r="A95" i="3"/>
  <c r="CY95" i="3"/>
  <c r="CZ95" i="3"/>
  <c r="DB95" i="3" s="1"/>
  <c r="DA95" i="3"/>
  <c r="DC95" i="3"/>
  <c r="A96" i="3"/>
  <c r="CY96" i="3"/>
  <c r="CZ96" i="3"/>
  <c r="DA96" i="3"/>
  <c r="DB96" i="3"/>
  <c r="DC96" i="3"/>
  <c r="A97" i="3"/>
  <c r="CY97" i="3"/>
  <c r="CZ97" i="3"/>
  <c r="DA97" i="3"/>
  <c r="DB97" i="3"/>
  <c r="DC97" i="3"/>
  <c r="A98" i="3"/>
  <c r="CY98" i="3"/>
  <c r="CZ98" i="3"/>
  <c r="DB98" i="3" s="1"/>
  <c r="DA98" i="3"/>
  <c r="DC98" i="3"/>
  <c r="A99" i="3"/>
  <c r="CY99" i="3"/>
  <c r="CZ99" i="3"/>
  <c r="DB99" i="3" s="1"/>
  <c r="DA99" i="3"/>
  <c r="DC99" i="3"/>
  <c r="A100" i="3"/>
  <c r="CY100" i="3"/>
  <c r="CZ100" i="3"/>
  <c r="DA100" i="3"/>
  <c r="DB100" i="3"/>
  <c r="DC100" i="3"/>
  <c r="A101" i="3"/>
  <c r="CY101" i="3"/>
  <c r="CZ101" i="3"/>
  <c r="DA101" i="3"/>
  <c r="DB101" i="3"/>
  <c r="DC101" i="3"/>
  <c r="A102" i="3"/>
  <c r="CY102" i="3"/>
  <c r="CZ102" i="3"/>
  <c r="DB102" i="3" s="1"/>
  <c r="DA102" i="3"/>
  <c r="DC102" i="3"/>
  <c r="A103" i="3"/>
  <c r="CY103" i="3"/>
  <c r="CZ103" i="3"/>
  <c r="DB103" i="3" s="1"/>
  <c r="DA103" i="3"/>
  <c r="DC103" i="3"/>
  <c r="A104" i="3"/>
  <c r="CY104" i="3"/>
  <c r="CZ104" i="3"/>
  <c r="DA104" i="3"/>
  <c r="DB104" i="3"/>
  <c r="DC104" i="3"/>
  <c r="A105" i="3"/>
  <c r="CY105" i="3"/>
  <c r="CZ105" i="3"/>
  <c r="DA105" i="3"/>
  <c r="DB105" i="3"/>
  <c r="DC105" i="3"/>
  <c r="A106" i="3"/>
  <c r="CY106" i="3"/>
  <c r="CZ106" i="3"/>
  <c r="DB106" i="3" s="1"/>
  <c r="DA106" i="3"/>
  <c r="DC106" i="3"/>
  <c r="A107" i="3"/>
  <c r="CY107" i="3"/>
  <c r="CZ107" i="3"/>
  <c r="DB107" i="3" s="1"/>
  <c r="DA107" i="3"/>
  <c r="DC107" i="3"/>
  <c r="A108" i="3"/>
  <c r="CY108" i="3"/>
  <c r="CZ108" i="3"/>
  <c r="DA108" i="3"/>
  <c r="DB108" i="3"/>
  <c r="DC108" i="3"/>
  <c r="A109" i="3"/>
  <c r="CY109" i="3"/>
  <c r="CZ109" i="3"/>
  <c r="DA109" i="3"/>
  <c r="DB109" i="3"/>
  <c r="DC109" i="3"/>
  <c r="A110" i="3"/>
  <c r="CY110" i="3"/>
  <c r="CZ110" i="3"/>
  <c r="DB110" i="3" s="1"/>
  <c r="DA110" i="3"/>
  <c r="DC110" i="3"/>
  <c r="A111" i="3"/>
  <c r="CY111" i="3"/>
  <c r="CZ111" i="3"/>
  <c r="DB111" i="3" s="1"/>
  <c r="DA111" i="3"/>
  <c r="DC111" i="3"/>
  <c r="A112" i="3"/>
  <c r="CY112" i="3"/>
  <c r="CZ112" i="3"/>
  <c r="DA112" i="3"/>
  <c r="DB112" i="3"/>
  <c r="DC112" i="3"/>
  <c r="A113" i="3"/>
  <c r="CY113" i="3"/>
  <c r="CZ113" i="3"/>
  <c r="DA113" i="3"/>
  <c r="DB113" i="3"/>
  <c r="DC113" i="3"/>
  <c r="A114" i="3"/>
  <c r="CY114" i="3"/>
  <c r="CZ114" i="3"/>
  <c r="DB114" i="3" s="1"/>
  <c r="DA114" i="3"/>
  <c r="DC114" i="3"/>
  <c r="A115" i="3"/>
  <c r="CY115" i="3"/>
  <c r="CZ115" i="3"/>
  <c r="DB115" i="3" s="1"/>
  <c r="DA115" i="3"/>
  <c r="DC115" i="3"/>
  <c r="A116" i="3"/>
  <c r="CY116" i="3"/>
  <c r="CZ116" i="3"/>
  <c r="DA116" i="3"/>
  <c r="DB116" i="3"/>
  <c r="DC116" i="3"/>
  <c r="A117" i="3"/>
  <c r="CY117" i="3"/>
  <c r="CZ117" i="3"/>
  <c r="DA117" i="3"/>
  <c r="DB117" i="3"/>
  <c r="DC117" i="3"/>
  <c r="A118" i="3"/>
  <c r="CY118" i="3"/>
  <c r="CZ118" i="3"/>
  <c r="DB118" i="3" s="1"/>
  <c r="DA118" i="3"/>
  <c r="DC118" i="3"/>
  <c r="A119" i="3"/>
  <c r="CY119" i="3"/>
  <c r="CZ119" i="3"/>
  <c r="DB119" i="3" s="1"/>
  <c r="DA119" i="3"/>
  <c r="DC119" i="3"/>
  <c r="A120" i="3"/>
  <c r="CY120" i="3"/>
  <c r="CZ120" i="3"/>
  <c r="DA120" i="3"/>
  <c r="DB120" i="3"/>
  <c r="DC120" i="3"/>
  <c r="A121" i="3"/>
  <c r="CY121" i="3"/>
  <c r="CZ121" i="3"/>
  <c r="DA121" i="3"/>
  <c r="DB121" i="3"/>
  <c r="DC121" i="3"/>
  <c r="A122" i="3"/>
  <c r="CY122" i="3"/>
  <c r="CZ122" i="3"/>
  <c r="DB122" i="3" s="1"/>
  <c r="DA122" i="3"/>
  <c r="DC122" i="3"/>
  <c r="A123" i="3"/>
  <c r="CY123" i="3"/>
  <c r="CZ123" i="3"/>
  <c r="DB123" i="3" s="1"/>
  <c r="DA123" i="3"/>
  <c r="DC123" i="3"/>
  <c r="A124" i="3"/>
  <c r="CY124" i="3"/>
  <c r="CZ124" i="3"/>
  <c r="DA124" i="3"/>
  <c r="DB124" i="3"/>
  <c r="DC124" i="3"/>
  <c r="A125" i="3"/>
  <c r="CY125" i="3"/>
  <c r="CZ125" i="3"/>
  <c r="DA125" i="3"/>
  <c r="DB125" i="3"/>
  <c r="DC125" i="3"/>
  <c r="A126" i="3"/>
  <c r="CY126" i="3"/>
  <c r="CZ126" i="3"/>
  <c r="DB126" i="3" s="1"/>
  <c r="DA126" i="3"/>
  <c r="DC126" i="3"/>
  <c r="A127" i="3"/>
  <c r="CY127" i="3"/>
  <c r="CZ127" i="3"/>
  <c r="DB127" i="3" s="1"/>
  <c r="DA127" i="3"/>
  <c r="DC127" i="3"/>
  <c r="A128" i="3"/>
  <c r="CY128" i="3"/>
  <c r="CZ128" i="3"/>
  <c r="DA128" i="3"/>
  <c r="DB128" i="3"/>
  <c r="DC128" i="3"/>
  <c r="A129" i="3"/>
  <c r="CY129" i="3"/>
  <c r="CZ129" i="3"/>
  <c r="DA129" i="3"/>
  <c r="DB129" i="3"/>
  <c r="DC129" i="3"/>
  <c r="A130" i="3"/>
  <c r="CY130" i="3"/>
  <c r="CZ130" i="3"/>
  <c r="DB130" i="3" s="1"/>
  <c r="DA130" i="3"/>
  <c r="DC130" i="3"/>
  <c r="A131" i="3"/>
  <c r="CY131" i="3"/>
  <c r="CZ131" i="3"/>
  <c r="DB131" i="3" s="1"/>
  <c r="DA131" i="3"/>
  <c r="DC131" i="3"/>
  <c r="A132" i="3"/>
  <c r="CY132" i="3"/>
  <c r="CZ132" i="3"/>
  <c r="DA132" i="3"/>
  <c r="DB132" i="3"/>
  <c r="DC132" i="3"/>
  <c r="A133" i="3"/>
  <c r="CY133" i="3"/>
  <c r="CZ133" i="3"/>
  <c r="DA133" i="3"/>
  <c r="DB133" i="3"/>
  <c r="DC133" i="3"/>
  <c r="A134" i="3"/>
  <c r="CY134" i="3"/>
  <c r="CZ134" i="3"/>
  <c r="DB134" i="3" s="1"/>
  <c r="DA134" i="3"/>
  <c r="DC134" i="3"/>
  <c r="A135" i="3"/>
  <c r="CY135" i="3"/>
  <c r="CZ135" i="3"/>
  <c r="DB135" i="3" s="1"/>
  <c r="DA135" i="3"/>
  <c r="DC135" i="3"/>
  <c r="A136" i="3"/>
  <c r="CY136" i="3"/>
  <c r="CZ136" i="3"/>
  <c r="DA136" i="3"/>
  <c r="DB136" i="3"/>
  <c r="DC136" i="3"/>
  <c r="A137" i="3"/>
  <c r="CY137" i="3"/>
  <c r="CZ137" i="3"/>
  <c r="DA137" i="3"/>
  <c r="DB137" i="3"/>
  <c r="DC137" i="3"/>
  <c r="A138" i="3"/>
  <c r="CY138" i="3"/>
  <c r="CZ138" i="3"/>
  <c r="DB138" i="3" s="1"/>
  <c r="DA138" i="3"/>
  <c r="DC138" i="3"/>
  <c r="A139" i="3"/>
  <c r="CY139" i="3"/>
  <c r="CZ139" i="3"/>
  <c r="DB139" i="3" s="1"/>
  <c r="DA139" i="3"/>
  <c r="DC139" i="3"/>
  <c r="A140" i="3"/>
  <c r="CY140" i="3"/>
  <c r="CZ140" i="3"/>
  <c r="DA140" i="3"/>
  <c r="DB140" i="3"/>
  <c r="DC140" i="3"/>
  <c r="A141" i="3"/>
  <c r="CY141" i="3"/>
  <c r="CZ141" i="3"/>
  <c r="DA141" i="3"/>
  <c r="DB141" i="3"/>
  <c r="DC141" i="3"/>
  <c r="A142" i="3"/>
  <c r="CY142" i="3"/>
  <c r="CZ142" i="3"/>
  <c r="DB142" i="3" s="1"/>
  <c r="DA142" i="3"/>
  <c r="DC142" i="3"/>
  <c r="A143" i="3"/>
  <c r="CY143" i="3"/>
  <c r="CZ143" i="3"/>
  <c r="DB143" i="3" s="1"/>
  <c r="DA143" i="3"/>
  <c r="DC143" i="3"/>
  <c r="A144" i="3"/>
  <c r="CY144" i="3"/>
  <c r="CZ144" i="3"/>
  <c r="DA144" i="3"/>
  <c r="DB144" i="3"/>
  <c r="DC144" i="3"/>
  <c r="A145" i="3"/>
  <c r="CY145" i="3"/>
  <c r="CZ145" i="3"/>
  <c r="DA145" i="3"/>
  <c r="DB145" i="3"/>
  <c r="DC145" i="3"/>
  <c r="A146" i="3"/>
  <c r="CY146" i="3"/>
  <c r="CZ146" i="3"/>
  <c r="DB146" i="3" s="1"/>
  <c r="DA146" i="3"/>
  <c r="DC146" i="3"/>
  <c r="A147" i="3"/>
  <c r="CY147" i="3"/>
  <c r="CZ147" i="3"/>
  <c r="DB147" i="3" s="1"/>
  <c r="DA147" i="3"/>
  <c r="DC147" i="3"/>
  <c r="A148" i="3"/>
  <c r="CY148" i="3"/>
  <c r="CZ148" i="3"/>
  <c r="DA148" i="3"/>
  <c r="DB148" i="3"/>
  <c r="DC148" i="3"/>
  <c r="A149" i="3"/>
  <c r="CY149" i="3"/>
  <c r="CZ149" i="3"/>
  <c r="DA149" i="3"/>
  <c r="DB149" i="3"/>
  <c r="DC149" i="3"/>
  <c r="A150" i="3"/>
  <c r="CY150" i="3"/>
  <c r="CZ150" i="3"/>
  <c r="DB150" i="3" s="1"/>
  <c r="DA150" i="3"/>
  <c r="DC150" i="3"/>
  <c r="A151" i="3"/>
  <c r="CY151" i="3"/>
  <c r="CZ151" i="3"/>
  <c r="DB151" i="3" s="1"/>
  <c r="DA151" i="3"/>
  <c r="DC151" i="3"/>
  <c r="A152" i="3"/>
  <c r="CY152" i="3"/>
  <c r="CZ152" i="3"/>
  <c r="DA152" i="3"/>
  <c r="DB152" i="3"/>
  <c r="DC152" i="3"/>
  <c r="A153" i="3"/>
  <c r="CY153" i="3"/>
  <c r="CZ153" i="3"/>
  <c r="DA153" i="3"/>
  <c r="DB153" i="3"/>
  <c r="DC153" i="3"/>
  <c r="A154" i="3"/>
  <c r="CY154" i="3"/>
  <c r="CZ154" i="3"/>
  <c r="DB154" i="3" s="1"/>
  <c r="DA154" i="3"/>
  <c r="DC154" i="3"/>
  <c r="A155" i="3"/>
  <c r="CY155" i="3"/>
  <c r="CZ155" i="3"/>
  <c r="DB155" i="3" s="1"/>
  <c r="DA155" i="3"/>
  <c r="DC155" i="3"/>
  <c r="A156" i="3"/>
  <c r="CY156" i="3"/>
  <c r="CZ156" i="3"/>
  <c r="DA156" i="3"/>
  <c r="DB156" i="3"/>
  <c r="DC156" i="3"/>
  <c r="A157" i="3"/>
  <c r="CY157" i="3"/>
  <c r="CZ157" i="3"/>
  <c r="DA157" i="3"/>
  <c r="DB157" i="3"/>
  <c r="DC157" i="3"/>
  <c r="A158" i="3"/>
  <c r="CY158" i="3"/>
  <c r="CZ158" i="3"/>
  <c r="DB158" i="3" s="1"/>
  <c r="DA158" i="3"/>
  <c r="DC158" i="3"/>
  <c r="A159" i="3"/>
  <c r="CY159" i="3"/>
  <c r="CZ159" i="3"/>
  <c r="DB159" i="3" s="1"/>
  <c r="DA159" i="3"/>
  <c r="DC159" i="3"/>
  <c r="A160" i="3"/>
  <c r="CY160" i="3"/>
  <c r="CZ160" i="3"/>
  <c r="DA160" i="3"/>
  <c r="DB160" i="3"/>
  <c r="DC160" i="3"/>
  <c r="A161" i="3"/>
  <c r="CY161" i="3"/>
  <c r="CZ161" i="3"/>
  <c r="DA161" i="3"/>
  <c r="DB161" i="3"/>
  <c r="DC161" i="3"/>
  <c r="A162" i="3"/>
  <c r="CY162" i="3"/>
  <c r="CZ162" i="3"/>
  <c r="DB162" i="3" s="1"/>
  <c r="DA162" i="3"/>
  <c r="DC162" i="3"/>
  <c r="A163" i="3"/>
  <c r="CY163" i="3"/>
  <c r="CZ163" i="3"/>
  <c r="DB163" i="3" s="1"/>
  <c r="DA163" i="3"/>
  <c r="DC163" i="3"/>
  <c r="A164" i="3"/>
  <c r="CY164" i="3"/>
  <c r="CZ164" i="3"/>
  <c r="DA164" i="3"/>
  <c r="DB164" i="3"/>
  <c r="DC164" i="3"/>
  <c r="A165" i="3"/>
  <c r="CY165" i="3"/>
  <c r="CZ165" i="3"/>
  <c r="DA165" i="3"/>
  <c r="DB165" i="3"/>
  <c r="DC165" i="3"/>
  <c r="A166" i="3"/>
  <c r="CY166" i="3"/>
  <c r="CZ166" i="3"/>
  <c r="DB166" i="3" s="1"/>
  <c r="DA166" i="3"/>
  <c r="DC166" i="3"/>
  <c r="A167" i="3"/>
  <c r="CY167" i="3"/>
  <c r="CZ167" i="3"/>
  <c r="DB167" i="3" s="1"/>
  <c r="DA167" i="3"/>
  <c r="DC167" i="3"/>
  <c r="A168" i="3"/>
  <c r="CY168" i="3"/>
  <c r="CZ168" i="3"/>
  <c r="DA168" i="3"/>
  <c r="DB168" i="3"/>
  <c r="DC168" i="3"/>
  <c r="A169" i="3"/>
  <c r="CY169" i="3"/>
  <c r="CZ169" i="3"/>
  <c r="DA169" i="3"/>
  <c r="DB169" i="3"/>
  <c r="DC169" i="3"/>
  <c r="A170" i="3"/>
  <c r="CY170" i="3"/>
  <c r="CZ170" i="3"/>
  <c r="DA170" i="3"/>
  <c r="DB170" i="3"/>
  <c r="DC170" i="3"/>
  <c r="A171" i="3"/>
  <c r="CY171" i="3"/>
  <c r="CZ171" i="3"/>
  <c r="DA171" i="3"/>
  <c r="DB171" i="3"/>
  <c r="DC171" i="3"/>
  <c r="A172" i="3"/>
  <c r="CY172" i="3"/>
  <c r="CZ172" i="3"/>
  <c r="DB172" i="3" s="1"/>
  <c r="DA172" i="3"/>
  <c r="DC172" i="3"/>
  <c r="A173" i="3"/>
  <c r="CY173" i="3"/>
  <c r="CZ173" i="3"/>
  <c r="DB173" i="3" s="1"/>
  <c r="DA173" i="3"/>
  <c r="DC173" i="3"/>
  <c r="A174" i="3"/>
  <c r="CY174" i="3"/>
  <c r="CZ174" i="3"/>
  <c r="DA174" i="3"/>
  <c r="DB174" i="3"/>
  <c r="DC174" i="3"/>
  <c r="A175" i="3"/>
  <c r="CY175" i="3"/>
  <c r="CZ175" i="3"/>
  <c r="DA175" i="3"/>
  <c r="DB175" i="3"/>
  <c r="DC175" i="3"/>
  <c r="A176" i="3"/>
  <c r="CY176" i="3"/>
  <c r="CZ176" i="3"/>
  <c r="DB176" i="3" s="1"/>
  <c r="DA176" i="3"/>
  <c r="DC176" i="3"/>
  <c r="A177" i="3"/>
  <c r="CY177" i="3"/>
  <c r="CZ177" i="3"/>
  <c r="DB177" i="3" s="1"/>
  <c r="DA177" i="3"/>
  <c r="DC177" i="3"/>
  <c r="A178" i="3"/>
  <c r="CY178" i="3"/>
  <c r="CZ178" i="3"/>
  <c r="DA178" i="3"/>
  <c r="DB178" i="3"/>
  <c r="DC178" i="3"/>
  <c r="A179" i="3"/>
  <c r="CY179" i="3"/>
  <c r="CZ179" i="3"/>
  <c r="DA179" i="3"/>
  <c r="DB179" i="3"/>
  <c r="DC179" i="3"/>
  <c r="A180" i="3"/>
  <c r="CY180" i="3"/>
  <c r="CZ180" i="3"/>
  <c r="DB180" i="3" s="1"/>
  <c r="DA180" i="3"/>
  <c r="DC180" i="3"/>
  <c r="A181" i="3"/>
  <c r="CY181" i="3"/>
  <c r="CZ181" i="3"/>
  <c r="DB181" i="3" s="1"/>
  <c r="DA181" i="3"/>
  <c r="DC181" i="3"/>
  <c r="A182" i="3"/>
  <c r="CY182" i="3"/>
  <c r="CZ182" i="3"/>
  <c r="DA182" i="3"/>
  <c r="DB182" i="3"/>
  <c r="DC182" i="3"/>
  <c r="A183" i="3"/>
  <c r="CY183" i="3"/>
  <c r="CZ183" i="3"/>
  <c r="DA183" i="3"/>
  <c r="DB183" i="3"/>
  <c r="DC183" i="3"/>
  <c r="A184" i="3"/>
  <c r="CY184" i="3"/>
  <c r="CZ184" i="3"/>
  <c r="DB184" i="3" s="1"/>
  <c r="DA184" i="3"/>
  <c r="DC184" i="3"/>
  <c r="A185" i="3"/>
  <c r="CY185" i="3"/>
  <c r="CZ185" i="3"/>
  <c r="DB185" i="3" s="1"/>
  <c r="DA185" i="3"/>
  <c r="DC185" i="3"/>
  <c r="A186" i="3"/>
  <c r="CY186" i="3"/>
  <c r="CZ186" i="3"/>
  <c r="DA186" i="3"/>
  <c r="DB186" i="3"/>
  <c r="DC186" i="3"/>
  <c r="A187" i="3"/>
  <c r="CY187" i="3"/>
  <c r="CZ187" i="3"/>
  <c r="DA187" i="3"/>
  <c r="DB187" i="3"/>
  <c r="DC187" i="3"/>
  <c r="A188" i="3"/>
  <c r="CY188" i="3"/>
  <c r="CZ188" i="3"/>
  <c r="DB188" i="3" s="1"/>
  <c r="DA188" i="3"/>
  <c r="DC188" i="3"/>
  <c r="A189" i="3"/>
  <c r="CY189" i="3"/>
  <c r="CZ189" i="3"/>
  <c r="DB189" i="3" s="1"/>
  <c r="DA189" i="3"/>
  <c r="DC189" i="3"/>
  <c r="A190" i="3"/>
  <c r="CY190" i="3"/>
  <c r="CZ190" i="3"/>
  <c r="DA190" i="3"/>
  <c r="DB190" i="3"/>
  <c r="DC190" i="3"/>
  <c r="A191" i="3"/>
  <c r="CY191" i="3"/>
  <c r="CZ191" i="3"/>
  <c r="DA191" i="3"/>
  <c r="DB191" i="3"/>
  <c r="DC191" i="3"/>
  <c r="A192" i="3"/>
  <c r="CY192" i="3"/>
  <c r="CZ192" i="3"/>
  <c r="DB192" i="3" s="1"/>
  <c r="DA192" i="3"/>
  <c r="DC192" i="3"/>
  <c r="A193" i="3"/>
  <c r="CY193" i="3"/>
  <c r="CZ193" i="3"/>
  <c r="DB193" i="3" s="1"/>
  <c r="DA193" i="3"/>
  <c r="DC193" i="3"/>
  <c r="A194" i="3"/>
  <c r="CY194" i="3"/>
  <c r="CZ194" i="3"/>
  <c r="DA194" i="3"/>
  <c r="DB194" i="3"/>
  <c r="DC194" i="3"/>
  <c r="A195" i="3"/>
  <c r="CY195" i="3"/>
  <c r="CZ195" i="3"/>
  <c r="DA195" i="3"/>
  <c r="DB195" i="3"/>
  <c r="DC195" i="3"/>
  <c r="A196" i="3"/>
  <c r="CY196" i="3"/>
  <c r="CZ196" i="3"/>
  <c r="DB196" i="3" s="1"/>
  <c r="DA196" i="3"/>
  <c r="DC196" i="3"/>
  <c r="A197" i="3"/>
  <c r="CY197" i="3"/>
  <c r="CZ197" i="3"/>
  <c r="DB197" i="3" s="1"/>
  <c r="DA197" i="3"/>
  <c r="DC197" i="3"/>
  <c r="A198" i="3"/>
  <c r="CY198" i="3"/>
  <c r="CZ198" i="3"/>
  <c r="DA198" i="3"/>
  <c r="DB198" i="3"/>
  <c r="DC198" i="3"/>
  <c r="A199" i="3"/>
  <c r="CY199" i="3"/>
  <c r="CZ199" i="3"/>
  <c r="DA199" i="3"/>
  <c r="DB199" i="3"/>
  <c r="DC199" i="3"/>
  <c r="A200" i="3"/>
  <c r="CY200" i="3"/>
  <c r="CZ200" i="3"/>
  <c r="DB200" i="3" s="1"/>
  <c r="DA200" i="3"/>
  <c r="DC200" i="3"/>
  <c r="A201" i="3"/>
  <c r="CY201" i="3"/>
  <c r="CZ201" i="3"/>
  <c r="DB201" i="3" s="1"/>
  <c r="DA201" i="3"/>
  <c r="DC201" i="3"/>
  <c r="A202" i="3"/>
  <c r="CY202" i="3"/>
  <c r="CZ202" i="3"/>
  <c r="DA202" i="3"/>
  <c r="DB202" i="3"/>
  <c r="DC202" i="3"/>
  <c r="A203" i="3"/>
  <c r="CY203" i="3"/>
  <c r="CZ203" i="3"/>
  <c r="DA203" i="3"/>
  <c r="DB203" i="3"/>
  <c r="DC203" i="3"/>
  <c r="A204" i="3"/>
  <c r="CY204" i="3"/>
  <c r="CZ204" i="3"/>
  <c r="DB204" i="3" s="1"/>
  <c r="DA204" i="3"/>
  <c r="DC204" i="3"/>
  <c r="A205" i="3"/>
  <c r="CY205" i="3"/>
  <c r="CZ205" i="3"/>
  <c r="DB205" i="3" s="1"/>
  <c r="DA205" i="3"/>
  <c r="DC205" i="3"/>
  <c r="A206" i="3"/>
  <c r="CY206" i="3"/>
  <c r="CZ206" i="3"/>
  <c r="DA206" i="3"/>
  <c r="DB206" i="3"/>
  <c r="DC206" i="3"/>
  <c r="A207" i="3"/>
  <c r="CY207" i="3"/>
  <c r="CZ207" i="3"/>
  <c r="DA207" i="3"/>
  <c r="DB207" i="3"/>
  <c r="DC207" i="3"/>
  <c r="A208" i="3"/>
  <c r="CY208" i="3"/>
  <c r="CZ208" i="3"/>
  <c r="DB208" i="3" s="1"/>
  <c r="DA208" i="3"/>
  <c r="DC208" i="3"/>
  <c r="A209" i="3"/>
  <c r="CY209" i="3"/>
  <c r="CZ209" i="3"/>
  <c r="DB209" i="3" s="1"/>
  <c r="DA209" i="3"/>
  <c r="DC209" i="3"/>
  <c r="A210" i="3"/>
  <c r="CY210" i="3"/>
  <c r="CZ210" i="3"/>
  <c r="DA210" i="3"/>
  <c r="DB210" i="3"/>
  <c r="DC210" i="3"/>
  <c r="A211" i="3"/>
  <c r="CY211" i="3"/>
  <c r="CZ211" i="3"/>
  <c r="DA211" i="3"/>
  <c r="DB211" i="3"/>
  <c r="DC211" i="3"/>
  <c r="A212" i="3"/>
  <c r="CY212" i="3"/>
  <c r="CZ212" i="3"/>
  <c r="DB212" i="3" s="1"/>
  <c r="DA212" i="3"/>
  <c r="DC212" i="3"/>
  <c r="A213" i="3"/>
  <c r="CY213" i="3"/>
  <c r="CZ213" i="3"/>
  <c r="DB213" i="3" s="1"/>
  <c r="DA213" i="3"/>
  <c r="DC213" i="3"/>
  <c r="A214" i="3"/>
  <c r="CY214" i="3"/>
  <c r="CZ214" i="3"/>
  <c r="DA214" i="3"/>
  <c r="DB214" i="3"/>
  <c r="DC214" i="3"/>
  <c r="A215" i="3"/>
  <c r="CY215" i="3"/>
  <c r="CZ215" i="3"/>
  <c r="DA215" i="3"/>
  <c r="DB215" i="3"/>
  <c r="DC215" i="3"/>
  <c r="A216" i="3"/>
  <c r="CY216" i="3"/>
  <c r="CZ216" i="3"/>
  <c r="DB216" i="3" s="1"/>
  <c r="DA216" i="3"/>
  <c r="DC216" i="3"/>
  <c r="A217" i="3"/>
  <c r="CY217" i="3"/>
  <c r="CZ217" i="3"/>
  <c r="DB217" i="3" s="1"/>
  <c r="DA217" i="3"/>
  <c r="DC217" i="3"/>
  <c r="A218" i="3"/>
  <c r="CY218" i="3"/>
  <c r="CZ218" i="3"/>
  <c r="DA218" i="3"/>
  <c r="DB218" i="3"/>
  <c r="DC218" i="3"/>
  <c r="A219" i="3"/>
  <c r="CY219" i="3"/>
  <c r="CZ219" i="3"/>
  <c r="DA219" i="3"/>
  <c r="DB219" i="3"/>
  <c r="DC219" i="3"/>
  <c r="A220" i="3"/>
  <c r="CY220" i="3"/>
  <c r="CZ220" i="3"/>
  <c r="DB220" i="3" s="1"/>
  <c r="DA220" i="3"/>
  <c r="DC220" i="3"/>
  <c r="A221" i="3"/>
  <c r="CY221" i="3"/>
  <c r="CZ221" i="3"/>
  <c r="DB221" i="3" s="1"/>
  <c r="DA221" i="3"/>
  <c r="DC221" i="3"/>
  <c r="A222" i="3"/>
  <c r="CY222" i="3"/>
  <c r="CZ222" i="3"/>
  <c r="DA222" i="3"/>
  <c r="DB222" i="3"/>
  <c r="DC222" i="3"/>
  <c r="A223" i="3"/>
  <c r="CY223" i="3"/>
  <c r="CZ223" i="3"/>
  <c r="DA223" i="3"/>
  <c r="DB223" i="3"/>
  <c r="DC223" i="3"/>
  <c r="A224" i="3"/>
  <c r="CY224" i="3"/>
  <c r="CZ224" i="3"/>
  <c r="DB224" i="3" s="1"/>
  <c r="DA224" i="3"/>
  <c r="DC224" i="3"/>
  <c r="A225" i="3"/>
  <c r="CY225" i="3"/>
  <c r="CZ225" i="3"/>
  <c r="DB225" i="3" s="1"/>
  <c r="DA225" i="3"/>
  <c r="DC225" i="3"/>
  <c r="A226" i="3"/>
  <c r="CY226" i="3"/>
  <c r="CZ226" i="3"/>
  <c r="DA226" i="3"/>
  <c r="DB226" i="3"/>
  <c r="DC226" i="3"/>
  <c r="A227" i="3"/>
  <c r="CY227" i="3"/>
  <c r="CZ227" i="3"/>
  <c r="DA227" i="3"/>
  <c r="DB227" i="3"/>
  <c r="DC227" i="3"/>
  <c r="A228" i="3"/>
  <c r="CY228" i="3"/>
  <c r="CZ228" i="3"/>
  <c r="DB228" i="3" s="1"/>
  <c r="DA228" i="3"/>
  <c r="DC228" i="3"/>
  <c r="A229" i="3"/>
  <c r="CY229" i="3"/>
  <c r="CZ229" i="3"/>
  <c r="DB229" i="3" s="1"/>
  <c r="DA229" i="3"/>
  <c r="DC229" i="3"/>
  <c r="A230" i="3"/>
  <c r="CY230" i="3"/>
  <c r="CZ230" i="3"/>
  <c r="DA230" i="3"/>
  <c r="DB230" i="3"/>
  <c r="DC230" i="3"/>
  <c r="A231" i="3"/>
  <c r="CY231" i="3"/>
  <c r="CZ231" i="3"/>
  <c r="DA231" i="3"/>
  <c r="DB231" i="3"/>
  <c r="DC231" i="3"/>
  <c r="A232" i="3"/>
  <c r="CY232" i="3"/>
  <c r="CZ232" i="3"/>
  <c r="DB232" i="3" s="1"/>
  <c r="DA232" i="3"/>
  <c r="DC232" i="3"/>
  <c r="A233" i="3"/>
  <c r="CY233" i="3"/>
  <c r="CZ233" i="3"/>
  <c r="DB233" i="3" s="1"/>
  <c r="DA233" i="3"/>
  <c r="DC233" i="3"/>
  <c r="A234" i="3"/>
  <c r="CY234" i="3"/>
  <c r="CZ234" i="3"/>
  <c r="DA234" i="3"/>
  <c r="DB234" i="3"/>
  <c r="DC234" i="3"/>
  <c r="A235" i="3"/>
  <c r="CY235" i="3"/>
  <c r="CZ235" i="3"/>
  <c r="DA235" i="3"/>
  <c r="DB235" i="3"/>
  <c r="DC235" i="3"/>
  <c r="A236" i="3"/>
  <c r="CY236" i="3"/>
  <c r="CZ236" i="3"/>
  <c r="DB236" i="3" s="1"/>
  <c r="DA236" i="3"/>
  <c r="DC236" i="3"/>
  <c r="A237" i="3"/>
  <c r="CY237" i="3"/>
  <c r="CZ237" i="3"/>
  <c r="DB237" i="3" s="1"/>
  <c r="DA237" i="3"/>
  <c r="DC237" i="3"/>
  <c r="A238" i="3"/>
  <c r="CY238" i="3"/>
  <c r="CZ238" i="3"/>
  <c r="DA238" i="3"/>
  <c r="DB238" i="3"/>
  <c r="DC238" i="3"/>
  <c r="A239" i="3"/>
  <c r="CY239" i="3"/>
  <c r="CZ239" i="3"/>
  <c r="DA239" i="3"/>
  <c r="DB239" i="3"/>
  <c r="DC239" i="3"/>
  <c r="A240" i="3"/>
  <c r="CY240" i="3"/>
  <c r="CZ240" i="3"/>
  <c r="DB240" i="3" s="1"/>
  <c r="DA240" i="3"/>
  <c r="DC240" i="3"/>
  <c r="A241" i="3"/>
  <c r="CY241" i="3"/>
  <c r="CZ241" i="3"/>
  <c r="DB241" i="3" s="1"/>
  <c r="DA241" i="3"/>
  <c r="DC241" i="3"/>
  <c r="A242" i="3"/>
  <c r="CY242" i="3"/>
  <c r="CZ242" i="3"/>
  <c r="DA242" i="3"/>
  <c r="DB242" i="3"/>
  <c r="DC242" i="3"/>
  <c r="A243" i="3"/>
  <c r="CY243" i="3"/>
  <c r="CZ243" i="3"/>
  <c r="DA243" i="3"/>
  <c r="DB243" i="3"/>
  <c r="DC243" i="3"/>
  <c r="A244" i="3"/>
  <c r="CY244" i="3"/>
  <c r="CZ244" i="3"/>
  <c r="DB244" i="3" s="1"/>
  <c r="DA244" i="3"/>
  <c r="DC244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P32" i="1"/>
  <c r="AC32" i="1"/>
  <c r="AD32" i="1"/>
  <c r="CR32" i="1" s="1"/>
  <c r="Q32" i="1" s="1"/>
  <c r="AE32" i="1"/>
  <c r="AF32" i="1"/>
  <c r="AG32" i="1"/>
  <c r="AH32" i="1"/>
  <c r="CV32" i="1" s="1"/>
  <c r="U32" i="1" s="1"/>
  <c r="AI32" i="1"/>
  <c r="AJ32" i="1"/>
  <c r="CQ32" i="1"/>
  <c r="CS32" i="1"/>
  <c r="R32" i="1" s="1"/>
  <c r="CY32" i="1" s="1"/>
  <c r="X32" i="1" s="1"/>
  <c r="CT32" i="1"/>
  <c r="S32" i="1" s="1"/>
  <c r="CU32" i="1"/>
  <c r="T32" i="1" s="1"/>
  <c r="CW32" i="1"/>
  <c r="V32" i="1" s="1"/>
  <c r="CX32" i="1"/>
  <c r="W32" i="1" s="1"/>
  <c r="FR32" i="1"/>
  <c r="GL32" i="1"/>
  <c r="GO32" i="1"/>
  <c r="GP32" i="1"/>
  <c r="GV32" i="1"/>
  <c r="HC32" i="1" s="1"/>
  <c r="GX32" i="1" s="1"/>
  <c r="C33" i="1"/>
  <c r="D33" i="1"/>
  <c r="I33" i="1"/>
  <c r="CX3" i="3" s="1"/>
  <c r="AC33" i="1"/>
  <c r="CQ33" i="1" s="1"/>
  <c r="P33" i="1" s="1"/>
  <c r="AE33" i="1"/>
  <c r="AD33" i="1" s="1"/>
  <c r="CR33" i="1" s="1"/>
  <c r="Q33" i="1" s="1"/>
  <c r="AF33" i="1"/>
  <c r="AG33" i="1"/>
  <c r="CU33" i="1" s="1"/>
  <c r="T33" i="1" s="1"/>
  <c r="AH33" i="1"/>
  <c r="AI33" i="1"/>
  <c r="CW33" i="1" s="1"/>
  <c r="V33" i="1" s="1"/>
  <c r="AJ33" i="1"/>
  <c r="CT33" i="1"/>
  <c r="S33" i="1" s="1"/>
  <c r="CV33" i="1"/>
  <c r="U33" i="1" s="1"/>
  <c r="CX33" i="1"/>
  <c r="W33" i="1" s="1"/>
  <c r="FR33" i="1"/>
  <c r="GL33" i="1"/>
  <c r="GO33" i="1"/>
  <c r="GP33" i="1"/>
  <c r="GV33" i="1"/>
  <c r="HC33" i="1" s="1"/>
  <c r="GX33" i="1" s="1"/>
  <c r="I34" i="1"/>
  <c r="AC34" i="1"/>
  <c r="AD34" i="1"/>
  <c r="AB34" i="1" s="1"/>
  <c r="AE34" i="1"/>
  <c r="AF34" i="1"/>
  <c r="CT34" i="1" s="1"/>
  <c r="S34" i="1" s="1"/>
  <c r="AG34" i="1"/>
  <c r="AH34" i="1"/>
  <c r="CV34" i="1" s="1"/>
  <c r="U34" i="1" s="1"/>
  <c r="AI34" i="1"/>
  <c r="AJ34" i="1"/>
  <c r="CX34" i="1" s="1"/>
  <c r="W34" i="1" s="1"/>
  <c r="CQ34" i="1"/>
  <c r="P34" i="1" s="1"/>
  <c r="CS34" i="1"/>
  <c r="R34" i="1" s="1"/>
  <c r="CU34" i="1"/>
  <c r="T34" i="1" s="1"/>
  <c r="CW34" i="1"/>
  <c r="V34" i="1" s="1"/>
  <c r="FR34" i="1"/>
  <c r="GL34" i="1"/>
  <c r="GO34" i="1"/>
  <c r="GP34" i="1"/>
  <c r="GV34" i="1"/>
  <c r="HC34" i="1"/>
  <c r="GX34" i="1" s="1"/>
  <c r="I35" i="1"/>
  <c r="AC35" i="1"/>
  <c r="AD35" i="1"/>
  <c r="CR35" i="1" s="1"/>
  <c r="Q35" i="1" s="1"/>
  <c r="AE35" i="1"/>
  <c r="AF35" i="1"/>
  <c r="CT35" i="1" s="1"/>
  <c r="S35" i="1" s="1"/>
  <c r="AG35" i="1"/>
  <c r="AH35" i="1"/>
  <c r="CV35" i="1" s="1"/>
  <c r="U35" i="1" s="1"/>
  <c r="AI35" i="1"/>
  <c r="AJ35" i="1"/>
  <c r="CX35" i="1" s="1"/>
  <c r="W35" i="1" s="1"/>
  <c r="CQ35" i="1"/>
  <c r="P35" i="1" s="1"/>
  <c r="CS35" i="1"/>
  <c r="R35" i="1" s="1"/>
  <c r="CU35" i="1"/>
  <c r="T35" i="1" s="1"/>
  <c r="CW35" i="1"/>
  <c r="V35" i="1" s="1"/>
  <c r="FR35" i="1"/>
  <c r="GL35" i="1"/>
  <c r="GO35" i="1"/>
  <c r="GP35" i="1"/>
  <c r="GV35" i="1"/>
  <c r="HC35" i="1"/>
  <c r="GX35" i="1" s="1"/>
  <c r="C36" i="1"/>
  <c r="D36" i="1"/>
  <c r="I36" i="1"/>
  <c r="AC36" i="1"/>
  <c r="AD36" i="1"/>
  <c r="CR36" i="1" s="1"/>
  <c r="Q36" i="1" s="1"/>
  <c r="AE36" i="1"/>
  <c r="AF36" i="1"/>
  <c r="CT36" i="1" s="1"/>
  <c r="S36" i="1" s="1"/>
  <c r="AG36" i="1"/>
  <c r="AH36" i="1"/>
  <c r="CV36" i="1" s="1"/>
  <c r="U36" i="1" s="1"/>
  <c r="AI36" i="1"/>
  <c r="AJ36" i="1"/>
  <c r="CX36" i="1" s="1"/>
  <c r="W36" i="1" s="1"/>
  <c r="CQ36" i="1"/>
  <c r="P36" i="1" s="1"/>
  <c r="CS36" i="1"/>
  <c r="R36" i="1" s="1"/>
  <c r="CU36" i="1"/>
  <c r="T36" i="1" s="1"/>
  <c r="CW36" i="1"/>
  <c r="V36" i="1" s="1"/>
  <c r="FR36" i="1"/>
  <c r="GL36" i="1"/>
  <c r="GO36" i="1"/>
  <c r="GP36" i="1"/>
  <c r="GV36" i="1"/>
  <c r="HC36" i="1"/>
  <c r="GX36" i="1" s="1"/>
  <c r="C37" i="1"/>
  <c r="D37" i="1"/>
  <c r="I37" i="1"/>
  <c r="AC37" i="1"/>
  <c r="AE37" i="1"/>
  <c r="CS37" i="1" s="1"/>
  <c r="R37" i="1" s="1"/>
  <c r="AF37" i="1"/>
  <c r="AG37" i="1"/>
  <c r="CU37" i="1" s="1"/>
  <c r="T37" i="1" s="1"/>
  <c r="AH37" i="1"/>
  <c r="AI37" i="1"/>
  <c r="CW37" i="1" s="1"/>
  <c r="V37" i="1" s="1"/>
  <c r="AJ37" i="1"/>
  <c r="CT37" i="1"/>
  <c r="S37" i="1" s="1"/>
  <c r="CV37" i="1"/>
  <c r="U37" i="1" s="1"/>
  <c r="CX37" i="1"/>
  <c r="W37" i="1" s="1"/>
  <c r="FR37" i="1"/>
  <c r="GL37" i="1"/>
  <c r="BZ45" i="1" s="1"/>
  <c r="GO37" i="1"/>
  <c r="GP37" i="1"/>
  <c r="CD45" i="1" s="1"/>
  <c r="GV37" i="1"/>
  <c r="GX37" i="1"/>
  <c r="HC37" i="1"/>
  <c r="I38" i="1"/>
  <c r="AC38" i="1"/>
  <c r="AD38" i="1"/>
  <c r="CR38" i="1" s="1"/>
  <c r="Q38" i="1" s="1"/>
  <c r="AE38" i="1"/>
  <c r="AF38" i="1"/>
  <c r="AB38" i="1" s="1"/>
  <c r="AG38" i="1"/>
  <c r="AH38" i="1"/>
  <c r="CV38" i="1" s="1"/>
  <c r="U38" i="1" s="1"/>
  <c r="AI38" i="1"/>
  <c r="AJ38" i="1"/>
  <c r="CX38" i="1" s="1"/>
  <c r="W38" i="1" s="1"/>
  <c r="CQ38" i="1"/>
  <c r="P38" i="1" s="1"/>
  <c r="CS38" i="1"/>
  <c r="R38" i="1" s="1"/>
  <c r="CU38" i="1"/>
  <c r="T38" i="1" s="1"/>
  <c r="CW38" i="1"/>
  <c r="V38" i="1" s="1"/>
  <c r="FR38" i="1"/>
  <c r="GL38" i="1"/>
  <c r="GO38" i="1"/>
  <c r="GP38" i="1"/>
  <c r="GV38" i="1"/>
  <c r="HC38" i="1"/>
  <c r="GX38" i="1" s="1"/>
  <c r="C39" i="1"/>
  <c r="D39" i="1"/>
  <c r="I39" i="1"/>
  <c r="AC39" i="1"/>
  <c r="AD39" i="1"/>
  <c r="CR39" i="1" s="1"/>
  <c r="Q39" i="1" s="1"/>
  <c r="AE39" i="1"/>
  <c r="AF39" i="1"/>
  <c r="AB39" i="1" s="1"/>
  <c r="AG39" i="1"/>
  <c r="AH39" i="1"/>
  <c r="CV39" i="1" s="1"/>
  <c r="U39" i="1" s="1"/>
  <c r="AI39" i="1"/>
  <c r="AJ39" i="1"/>
  <c r="CX39" i="1" s="1"/>
  <c r="W39" i="1" s="1"/>
  <c r="CQ39" i="1"/>
  <c r="P39" i="1" s="1"/>
  <c r="CS39" i="1"/>
  <c r="R39" i="1" s="1"/>
  <c r="CU39" i="1"/>
  <c r="T39" i="1" s="1"/>
  <c r="CW39" i="1"/>
  <c r="V39" i="1" s="1"/>
  <c r="FR39" i="1"/>
  <c r="GL39" i="1"/>
  <c r="GO39" i="1"/>
  <c r="GP39" i="1"/>
  <c r="GV39" i="1"/>
  <c r="HC39" i="1"/>
  <c r="GX39" i="1" s="1"/>
  <c r="C40" i="1"/>
  <c r="D40" i="1"/>
  <c r="I40" i="1"/>
  <c r="AC40" i="1"/>
  <c r="AE40" i="1"/>
  <c r="CS40" i="1" s="1"/>
  <c r="R40" i="1" s="1"/>
  <c r="AF40" i="1"/>
  <c r="AG40" i="1"/>
  <c r="CU40" i="1" s="1"/>
  <c r="T40" i="1" s="1"/>
  <c r="AH40" i="1"/>
  <c r="AI40" i="1"/>
  <c r="CW40" i="1" s="1"/>
  <c r="V40" i="1" s="1"/>
  <c r="AJ40" i="1"/>
  <c r="CT40" i="1"/>
  <c r="S40" i="1" s="1"/>
  <c r="CV40" i="1"/>
  <c r="U40" i="1" s="1"/>
  <c r="CX40" i="1"/>
  <c r="W40" i="1" s="1"/>
  <c r="FR40" i="1"/>
  <c r="GL40" i="1"/>
  <c r="GO40" i="1"/>
  <c r="GP40" i="1"/>
  <c r="GV40" i="1"/>
  <c r="GX40" i="1"/>
  <c r="HC40" i="1"/>
  <c r="I41" i="1"/>
  <c r="AC41" i="1"/>
  <c r="AD41" i="1"/>
  <c r="CR41" i="1" s="1"/>
  <c r="Q41" i="1" s="1"/>
  <c r="AE41" i="1"/>
  <c r="AF41" i="1"/>
  <c r="AB41" i="1" s="1"/>
  <c r="AG41" i="1"/>
  <c r="AH41" i="1"/>
  <c r="CV41" i="1" s="1"/>
  <c r="U41" i="1" s="1"/>
  <c r="AI41" i="1"/>
  <c r="AJ41" i="1"/>
  <c r="CX41" i="1" s="1"/>
  <c r="W41" i="1" s="1"/>
  <c r="CQ41" i="1"/>
  <c r="P41" i="1" s="1"/>
  <c r="CS41" i="1"/>
  <c r="R41" i="1" s="1"/>
  <c r="CU41" i="1"/>
  <c r="T41" i="1" s="1"/>
  <c r="CW41" i="1"/>
  <c r="V41" i="1" s="1"/>
  <c r="FR41" i="1"/>
  <c r="GL41" i="1"/>
  <c r="GO41" i="1"/>
  <c r="GP41" i="1"/>
  <c r="GV41" i="1"/>
  <c r="HC41" i="1"/>
  <c r="GX41" i="1" s="1"/>
  <c r="I42" i="1"/>
  <c r="P42" i="1"/>
  <c r="AC42" i="1"/>
  <c r="AD42" i="1"/>
  <c r="AE42" i="1"/>
  <c r="AF42" i="1"/>
  <c r="CT42" i="1" s="1"/>
  <c r="S42" i="1" s="1"/>
  <c r="CY42" i="1" s="1"/>
  <c r="X42" i="1" s="1"/>
  <c r="AG42" i="1"/>
  <c r="AH42" i="1"/>
  <c r="CV42" i="1" s="1"/>
  <c r="U42" i="1" s="1"/>
  <c r="AI42" i="1"/>
  <c r="AJ42" i="1"/>
  <c r="CX42" i="1" s="1"/>
  <c r="W42" i="1" s="1"/>
  <c r="CQ42" i="1"/>
  <c r="CS42" i="1"/>
  <c r="R42" i="1" s="1"/>
  <c r="CU42" i="1"/>
  <c r="T42" i="1" s="1"/>
  <c r="CW42" i="1"/>
  <c r="V42" i="1" s="1"/>
  <c r="FR42" i="1"/>
  <c r="GL42" i="1"/>
  <c r="GO42" i="1"/>
  <c r="GP42" i="1"/>
  <c r="GV42" i="1"/>
  <c r="HC42" i="1" s="1"/>
  <c r="GX42" i="1" s="1"/>
  <c r="I43" i="1"/>
  <c r="V43" i="1"/>
  <c r="AC43" i="1"/>
  <c r="AD43" i="1"/>
  <c r="CR43" i="1" s="1"/>
  <c r="AE43" i="1"/>
  <c r="AF43" i="1"/>
  <c r="CT43" i="1" s="1"/>
  <c r="AG43" i="1"/>
  <c r="AH43" i="1"/>
  <c r="CV43" i="1" s="1"/>
  <c r="AI43" i="1"/>
  <c r="AJ43" i="1"/>
  <c r="CX43" i="1" s="1"/>
  <c r="CQ43" i="1"/>
  <c r="P43" i="1" s="1"/>
  <c r="CS43" i="1"/>
  <c r="R43" i="1" s="1"/>
  <c r="CU43" i="1"/>
  <c r="T43" i="1" s="1"/>
  <c r="CW43" i="1"/>
  <c r="FR43" i="1"/>
  <c r="GL43" i="1"/>
  <c r="GO43" i="1"/>
  <c r="GP43" i="1"/>
  <c r="GV43" i="1"/>
  <c r="HC43" i="1"/>
  <c r="B45" i="1"/>
  <c r="B30" i="1" s="1"/>
  <c r="C45" i="1"/>
  <c r="C30" i="1" s="1"/>
  <c r="D45" i="1"/>
  <c r="D30" i="1" s="1"/>
  <c r="F45" i="1"/>
  <c r="F30" i="1" s="1"/>
  <c r="G45" i="1"/>
  <c r="G30" i="1" s="1"/>
  <c r="BX45" i="1"/>
  <c r="BX30" i="1" s="1"/>
  <c r="CK45" i="1"/>
  <c r="CK30" i="1" s="1"/>
  <c r="CL45" i="1"/>
  <c r="CL30" i="1" s="1"/>
  <c r="D75" i="1"/>
  <c r="C77" i="1"/>
  <c r="E77" i="1"/>
  <c r="G77" i="1"/>
  <c r="P77" i="1"/>
  <c r="R77" i="1"/>
  <c r="T77" i="1"/>
  <c r="V77" i="1"/>
  <c r="X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R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B79" i="1"/>
  <c r="B77" i="1" s="1"/>
  <c r="C79" i="1"/>
  <c r="D79" i="1"/>
  <c r="D77" i="1" s="1"/>
  <c r="F79" i="1"/>
  <c r="F77" i="1" s="1"/>
  <c r="G79" i="1"/>
  <c r="O79" i="1"/>
  <c r="P79" i="1"/>
  <c r="Q79" i="1"/>
  <c r="R79" i="1"/>
  <c r="S79" i="1"/>
  <c r="S77" i="1" s="1"/>
  <c r="T79" i="1"/>
  <c r="U79" i="1"/>
  <c r="V79" i="1"/>
  <c r="W79" i="1"/>
  <c r="X79" i="1"/>
  <c r="Y79" i="1"/>
  <c r="AO79" i="1"/>
  <c r="AO77" i="1" s="1"/>
  <c r="AP79" i="1"/>
  <c r="AP77" i="1" s="1"/>
  <c r="AQ79" i="1"/>
  <c r="AQ77" i="1" s="1"/>
  <c r="AR79" i="1"/>
  <c r="F107" i="1" s="1"/>
  <c r="AS79" i="1"/>
  <c r="AS77" i="1" s="1"/>
  <c r="AT79" i="1"/>
  <c r="F97" i="1" s="1"/>
  <c r="AU79" i="1"/>
  <c r="AU77" i="1" s="1"/>
  <c r="AV79" i="1"/>
  <c r="AW79" i="1"/>
  <c r="AW77" i="1" s="1"/>
  <c r="AX79" i="1"/>
  <c r="F86" i="1" s="1"/>
  <c r="AY79" i="1"/>
  <c r="AY77" i="1" s="1"/>
  <c r="AZ79" i="1"/>
  <c r="F90" i="1" s="1"/>
  <c r="BA79" i="1"/>
  <c r="BA77" i="1" s="1"/>
  <c r="BB79" i="1"/>
  <c r="BB77" i="1" s="1"/>
  <c r="BC79" i="1"/>
  <c r="BC77" i="1" s="1"/>
  <c r="BD79" i="1"/>
  <c r="F82" i="1"/>
  <c r="F83" i="1"/>
  <c r="F85" i="1"/>
  <c r="F87" i="1"/>
  <c r="F89" i="1"/>
  <c r="F92" i="1"/>
  <c r="F93" i="1"/>
  <c r="F94" i="1"/>
  <c r="F95" i="1"/>
  <c r="F96" i="1"/>
  <c r="F98" i="1"/>
  <c r="F99" i="1"/>
  <c r="F100" i="1"/>
  <c r="F102" i="1"/>
  <c r="F105" i="1"/>
  <c r="D109" i="1"/>
  <c r="E111" i="1"/>
  <c r="Z111" i="1"/>
  <c r="AA111" i="1"/>
  <c r="AM111" i="1"/>
  <c r="AN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EG111" i="1"/>
  <c r="EH111" i="1"/>
  <c r="EI111" i="1"/>
  <c r="EJ111" i="1"/>
  <c r="EK111" i="1"/>
  <c r="EL111" i="1"/>
  <c r="EM111" i="1"/>
  <c r="EN111" i="1"/>
  <c r="EO111" i="1"/>
  <c r="EP111" i="1"/>
  <c r="EQ111" i="1"/>
  <c r="ER111" i="1"/>
  <c r="ES111" i="1"/>
  <c r="ET111" i="1"/>
  <c r="EU111" i="1"/>
  <c r="EV111" i="1"/>
  <c r="EW111" i="1"/>
  <c r="EX111" i="1"/>
  <c r="EY111" i="1"/>
  <c r="EZ111" i="1"/>
  <c r="FA111" i="1"/>
  <c r="FB111" i="1"/>
  <c r="FC111" i="1"/>
  <c r="FD111" i="1"/>
  <c r="FE111" i="1"/>
  <c r="FF111" i="1"/>
  <c r="FG111" i="1"/>
  <c r="FH111" i="1"/>
  <c r="FI111" i="1"/>
  <c r="FJ111" i="1"/>
  <c r="FK111" i="1"/>
  <c r="FL111" i="1"/>
  <c r="FM111" i="1"/>
  <c r="FN111" i="1"/>
  <c r="FO111" i="1"/>
  <c r="FP111" i="1"/>
  <c r="FQ111" i="1"/>
  <c r="FR111" i="1"/>
  <c r="FS111" i="1"/>
  <c r="FT111" i="1"/>
  <c r="FU111" i="1"/>
  <c r="FV111" i="1"/>
  <c r="FW111" i="1"/>
  <c r="FX111" i="1"/>
  <c r="FY111" i="1"/>
  <c r="FZ111" i="1"/>
  <c r="GA111" i="1"/>
  <c r="GB111" i="1"/>
  <c r="GC111" i="1"/>
  <c r="GD111" i="1"/>
  <c r="GE111" i="1"/>
  <c r="GF111" i="1"/>
  <c r="GG111" i="1"/>
  <c r="GH111" i="1"/>
  <c r="GI111" i="1"/>
  <c r="GJ111" i="1"/>
  <c r="GK111" i="1"/>
  <c r="GL111" i="1"/>
  <c r="GM111" i="1"/>
  <c r="GN111" i="1"/>
  <c r="GO111" i="1"/>
  <c r="GP111" i="1"/>
  <c r="GQ111" i="1"/>
  <c r="GR111" i="1"/>
  <c r="GS111" i="1"/>
  <c r="GT111" i="1"/>
  <c r="GU111" i="1"/>
  <c r="GV111" i="1"/>
  <c r="GW111" i="1"/>
  <c r="GX111" i="1"/>
  <c r="C113" i="1"/>
  <c r="D113" i="1"/>
  <c r="I113" i="1"/>
  <c r="S113" i="1"/>
  <c r="W113" i="1"/>
  <c r="AC113" i="1"/>
  <c r="AE113" i="1"/>
  <c r="AF113" i="1"/>
  <c r="AG113" i="1"/>
  <c r="CU113" i="1" s="1"/>
  <c r="T113" i="1" s="1"/>
  <c r="AH113" i="1"/>
  <c r="AI113" i="1"/>
  <c r="CW113" i="1" s="1"/>
  <c r="V113" i="1" s="1"/>
  <c r="AJ113" i="1"/>
  <c r="CT113" i="1"/>
  <c r="CV113" i="1"/>
  <c r="U113" i="1" s="1"/>
  <c r="CX113" i="1"/>
  <c r="FR113" i="1"/>
  <c r="GL113" i="1"/>
  <c r="GO113" i="1"/>
  <c r="GP113" i="1"/>
  <c r="GV113" i="1"/>
  <c r="GX113" i="1"/>
  <c r="HC113" i="1"/>
  <c r="I114" i="1"/>
  <c r="P114" i="1"/>
  <c r="CP114" i="1" s="1"/>
  <c r="O114" i="1" s="1"/>
  <c r="AC114" i="1"/>
  <c r="AD114" i="1"/>
  <c r="CR114" i="1" s="1"/>
  <c r="Q114" i="1" s="1"/>
  <c r="AE114" i="1"/>
  <c r="AF114" i="1"/>
  <c r="CT114" i="1" s="1"/>
  <c r="S114" i="1" s="1"/>
  <c r="AG114" i="1"/>
  <c r="AH114" i="1"/>
  <c r="CV114" i="1" s="1"/>
  <c r="U114" i="1" s="1"/>
  <c r="AI114" i="1"/>
  <c r="AJ114" i="1"/>
  <c r="CX114" i="1" s="1"/>
  <c r="W114" i="1" s="1"/>
  <c r="CQ114" i="1"/>
  <c r="CS114" i="1"/>
  <c r="R114" i="1" s="1"/>
  <c r="CY114" i="1" s="1"/>
  <c r="X114" i="1" s="1"/>
  <c r="CU114" i="1"/>
  <c r="T114" i="1" s="1"/>
  <c r="CW114" i="1"/>
  <c r="V114" i="1" s="1"/>
  <c r="FR114" i="1"/>
  <c r="GL114" i="1"/>
  <c r="GO114" i="1"/>
  <c r="GP114" i="1"/>
  <c r="GV114" i="1"/>
  <c r="HC114" i="1" s="1"/>
  <c r="GX114" i="1" s="1"/>
  <c r="C115" i="1"/>
  <c r="D115" i="1"/>
  <c r="I115" i="1"/>
  <c r="U115" i="1"/>
  <c r="AC115" i="1"/>
  <c r="AE115" i="1"/>
  <c r="AF115" i="1"/>
  <c r="AG115" i="1"/>
  <c r="CU115" i="1" s="1"/>
  <c r="T115" i="1" s="1"/>
  <c r="AH115" i="1"/>
  <c r="AI115" i="1"/>
  <c r="CW115" i="1" s="1"/>
  <c r="V115" i="1" s="1"/>
  <c r="AJ115" i="1"/>
  <c r="CT115" i="1"/>
  <c r="S115" i="1" s="1"/>
  <c r="CV115" i="1"/>
  <c r="CX115" i="1"/>
  <c r="W115" i="1" s="1"/>
  <c r="FR115" i="1"/>
  <c r="GL115" i="1"/>
  <c r="GO115" i="1"/>
  <c r="GP115" i="1"/>
  <c r="GV115" i="1"/>
  <c r="GX115" i="1"/>
  <c r="HC115" i="1"/>
  <c r="I116" i="1"/>
  <c r="T116" i="1" s="1"/>
  <c r="AC116" i="1"/>
  <c r="AD116" i="1"/>
  <c r="CR116" i="1" s="1"/>
  <c r="AE116" i="1"/>
  <c r="AF116" i="1"/>
  <c r="CT116" i="1" s="1"/>
  <c r="AG116" i="1"/>
  <c r="AH116" i="1"/>
  <c r="CV116" i="1" s="1"/>
  <c r="AI116" i="1"/>
  <c r="AJ116" i="1"/>
  <c r="CX116" i="1" s="1"/>
  <c r="CQ116" i="1"/>
  <c r="P116" i="1" s="1"/>
  <c r="CS116" i="1"/>
  <c r="R116" i="1" s="1"/>
  <c r="CU116" i="1"/>
  <c r="CW116" i="1"/>
  <c r="V116" i="1" s="1"/>
  <c r="FR116" i="1"/>
  <c r="GL116" i="1"/>
  <c r="GO116" i="1"/>
  <c r="GP116" i="1"/>
  <c r="GV116" i="1"/>
  <c r="HC116" i="1"/>
  <c r="C117" i="1"/>
  <c r="D117" i="1"/>
  <c r="I117" i="1"/>
  <c r="S117" i="1"/>
  <c r="AC117" i="1"/>
  <c r="AE117" i="1"/>
  <c r="AF117" i="1"/>
  <c r="AG117" i="1"/>
  <c r="CU117" i="1" s="1"/>
  <c r="T117" i="1" s="1"/>
  <c r="AH117" i="1"/>
  <c r="AI117" i="1"/>
  <c r="CW117" i="1" s="1"/>
  <c r="V117" i="1" s="1"/>
  <c r="AJ117" i="1"/>
  <c r="CT117" i="1"/>
  <c r="CV117" i="1"/>
  <c r="U117" i="1" s="1"/>
  <c r="CX117" i="1"/>
  <c r="W117" i="1" s="1"/>
  <c r="FR117" i="1"/>
  <c r="GL117" i="1"/>
  <c r="GO117" i="1"/>
  <c r="GP117" i="1"/>
  <c r="GV117" i="1"/>
  <c r="GX117" i="1"/>
  <c r="HC117" i="1"/>
  <c r="C118" i="1"/>
  <c r="D118" i="1"/>
  <c r="AC118" i="1"/>
  <c r="AD118" i="1"/>
  <c r="CR118" i="1" s="1"/>
  <c r="AE118" i="1"/>
  <c r="AF118" i="1"/>
  <c r="CT118" i="1" s="1"/>
  <c r="AG118" i="1"/>
  <c r="AH118" i="1"/>
  <c r="CV118" i="1" s="1"/>
  <c r="AI118" i="1"/>
  <c r="AJ118" i="1"/>
  <c r="CX118" i="1" s="1"/>
  <c r="CQ118" i="1"/>
  <c r="CS118" i="1"/>
  <c r="CU118" i="1"/>
  <c r="CW118" i="1"/>
  <c r="FR118" i="1"/>
  <c r="GL118" i="1"/>
  <c r="GO118" i="1"/>
  <c r="GP118" i="1"/>
  <c r="GV118" i="1"/>
  <c r="HC118" i="1" s="1"/>
  <c r="C119" i="1"/>
  <c r="D119" i="1"/>
  <c r="AC119" i="1"/>
  <c r="AE119" i="1"/>
  <c r="AF119" i="1"/>
  <c r="AG119" i="1"/>
  <c r="CU119" i="1" s="1"/>
  <c r="AH119" i="1"/>
  <c r="AI119" i="1"/>
  <c r="CW119" i="1" s="1"/>
  <c r="AJ119" i="1"/>
  <c r="CT119" i="1"/>
  <c r="CV119" i="1"/>
  <c r="CX119" i="1"/>
  <c r="FR119" i="1"/>
  <c r="GL119" i="1"/>
  <c r="GO119" i="1"/>
  <c r="GP119" i="1"/>
  <c r="GV119" i="1"/>
  <c r="HC119" i="1"/>
  <c r="C120" i="1"/>
  <c r="D120" i="1"/>
  <c r="AC120" i="1"/>
  <c r="AD120" i="1"/>
  <c r="CR120" i="1" s="1"/>
  <c r="AE120" i="1"/>
  <c r="AF120" i="1"/>
  <c r="CT120" i="1" s="1"/>
  <c r="AG120" i="1"/>
  <c r="AH120" i="1"/>
  <c r="CV120" i="1" s="1"/>
  <c r="AI120" i="1"/>
  <c r="AJ120" i="1"/>
  <c r="CX120" i="1" s="1"/>
  <c r="CQ120" i="1"/>
  <c r="CS120" i="1"/>
  <c r="CU120" i="1"/>
  <c r="CW120" i="1"/>
  <c r="FR120" i="1"/>
  <c r="GL120" i="1"/>
  <c r="GO120" i="1"/>
  <c r="GP120" i="1"/>
  <c r="GV120" i="1"/>
  <c r="HC120" i="1"/>
  <c r="C121" i="1"/>
  <c r="D121" i="1"/>
  <c r="AC121" i="1"/>
  <c r="AE121" i="1"/>
  <c r="AF121" i="1"/>
  <c r="AG121" i="1"/>
  <c r="CU121" i="1" s="1"/>
  <c r="AH121" i="1"/>
  <c r="AI121" i="1"/>
  <c r="CW121" i="1" s="1"/>
  <c r="AJ121" i="1"/>
  <c r="CT121" i="1"/>
  <c r="CV121" i="1"/>
  <c r="CX121" i="1"/>
  <c r="FR121" i="1"/>
  <c r="GL121" i="1"/>
  <c r="GO121" i="1"/>
  <c r="GP121" i="1"/>
  <c r="GV121" i="1"/>
  <c r="HC121" i="1"/>
  <c r="C122" i="1"/>
  <c r="D122" i="1"/>
  <c r="I122" i="1"/>
  <c r="P122" i="1"/>
  <c r="V122" i="1"/>
  <c r="AC122" i="1"/>
  <c r="AD122" i="1"/>
  <c r="CR122" i="1" s="1"/>
  <c r="Q122" i="1" s="1"/>
  <c r="AE122" i="1"/>
  <c r="AF122" i="1"/>
  <c r="CT122" i="1" s="1"/>
  <c r="AG122" i="1"/>
  <c r="AH122" i="1"/>
  <c r="CV122" i="1" s="1"/>
  <c r="U122" i="1" s="1"/>
  <c r="AI122" i="1"/>
  <c r="AJ122" i="1"/>
  <c r="CX122" i="1" s="1"/>
  <c r="CQ122" i="1"/>
  <c r="CS122" i="1"/>
  <c r="R122" i="1" s="1"/>
  <c r="CU122" i="1"/>
  <c r="T122" i="1" s="1"/>
  <c r="CW122" i="1"/>
  <c r="FR122" i="1"/>
  <c r="GL122" i="1"/>
  <c r="GO122" i="1"/>
  <c r="GP122" i="1"/>
  <c r="GV122" i="1"/>
  <c r="HC122" i="1" s="1"/>
  <c r="GX122" i="1" s="1"/>
  <c r="AC123" i="1"/>
  <c r="AE123" i="1"/>
  <c r="CS123" i="1" s="1"/>
  <c r="AF123" i="1"/>
  <c r="AG123" i="1"/>
  <c r="AH123" i="1"/>
  <c r="AI123" i="1"/>
  <c r="CW123" i="1" s="1"/>
  <c r="AJ123" i="1"/>
  <c r="CQ123" i="1"/>
  <c r="CT123" i="1"/>
  <c r="CU123" i="1"/>
  <c r="CV123" i="1"/>
  <c r="CX123" i="1"/>
  <c r="FR123" i="1"/>
  <c r="GL123" i="1"/>
  <c r="GO123" i="1"/>
  <c r="GP123" i="1"/>
  <c r="GV123" i="1"/>
  <c r="HC123" i="1" s="1"/>
  <c r="AC124" i="1"/>
  <c r="AB124" i="1" s="1"/>
  <c r="AD124" i="1"/>
  <c r="CR124" i="1" s="1"/>
  <c r="AE124" i="1"/>
  <c r="AF124" i="1"/>
  <c r="AG124" i="1"/>
  <c r="AH124" i="1"/>
  <c r="CV124" i="1" s="1"/>
  <c r="AI124" i="1"/>
  <c r="AJ124" i="1"/>
  <c r="CQ124" i="1"/>
  <c r="CS124" i="1"/>
  <c r="CT124" i="1"/>
  <c r="CU124" i="1"/>
  <c r="CW124" i="1"/>
  <c r="CX124" i="1"/>
  <c r="FR124" i="1"/>
  <c r="GL124" i="1"/>
  <c r="GO124" i="1"/>
  <c r="GP124" i="1"/>
  <c r="GV124" i="1"/>
  <c r="HC124" i="1" s="1"/>
  <c r="C125" i="1"/>
  <c r="D125" i="1"/>
  <c r="AC125" i="1"/>
  <c r="AE125" i="1"/>
  <c r="CS125" i="1" s="1"/>
  <c r="AF125" i="1"/>
  <c r="AG125" i="1"/>
  <c r="AH125" i="1"/>
  <c r="AI125" i="1"/>
  <c r="CW125" i="1" s="1"/>
  <c r="AJ125" i="1"/>
  <c r="CQ125" i="1"/>
  <c r="CT125" i="1"/>
  <c r="CU125" i="1"/>
  <c r="CV125" i="1"/>
  <c r="CX125" i="1"/>
  <c r="FR125" i="1"/>
  <c r="GL125" i="1"/>
  <c r="GO125" i="1"/>
  <c r="GP125" i="1"/>
  <c r="GV125" i="1"/>
  <c r="HC125" i="1" s="1"/>
  <c r="AC126" i="1"/>
  <c r="AB126" i="1" s="1"/>
  <c r="AD126" i="1"/>
  <c r="CR126" i="1" s="1"/>
  <c r="AE126" i="1"/>
  <c r="AF126" i="1"/>
  <c r="AG126" i="1"/>
  <c r="AH126" i="1"/>
  <c r="CV126" i="1" s="1"/>
  <c r="AI126" i="1"/>
  <c r="AJ126" i="1"/>
  <c r="CQ126" i="1"/>
  <c r="CS126" i="1"/>
  <c r="CT126" i="1"/>
  <c r="CU126" i="1"/>
  <c r="CW126" i="1"/>
  <c r="CX126" i="1"/>
  <c r="FR126" i="1"/>
  <c r="GL126" i="1"/>
  <c r="GO126" i="1"/>
  <c r="GP126" i="1"/>
  <c r="GV126" i="1"/>
  <c r="HC126" i="1" s="1"/>
  <c r="AC127" i="1"/>
  <c r="CQ127" i="1" s="1"/>
  <c r="AE127" i="1"/>
  <c r="AD127" i="1" s="1"/>
  <c r="CR127" i="1" s="1"/>
  <c r="AF127" i="1"/>
  <c r="AG127" i="1"/>
  <c r="CU127" i="1" s="1"/>
  <c r="AH127" i="1"/>
  <c r="AI127" i="1"/>
  <c r="AJ127" i="1"/>
  <c r="CS127" i="1"/>
  <c r="CT127" i="1"/>
  <c r="CV127" i="1"/>
  <c r="CW127" i="1"/>
  <c r="CX127" i="1"/>
  <c r="FR127" i="1"/>
  <c r="GL127" i="1"/>
  <c r="GO127" i="1"/>
  <c r="GP127" i="1"/>
  <c r="GV127" i="1"/>
  <c r="HC127" i="1"/>
  <c r="B129" i="1"/>
  <c r="B111" i="1" s="1"/>
  <c r="C129" i="1"/>
  <c r="C111" i="1" s="1"/>
  <c r="D129" i="1"/>
  <c r="D111" i="1" s="1"/>
  <c r="F129" i="1"/>
  <c r="F111" i="1" s="1"/>
  <c r="G129" i="1"/>
  <c r="G111" i="1" s="1"/>
  <c r="BX129" i="1"/>
  <c r="BX111" i="1" s="1"/>
  <c r="BY129" i="1"/>
  <c r="CC129" i="1"/>
  <c r="CC111" i="1" s="1"/>
  <c r="CK129" i="1"/>
  <c r="CK111" i="1" s="1"/>
  <c r="CL129" i="1"/>
  <c r="CL111" i="1" s="1"/>
  <c r="CM129" i="1"/>
  <c r="CM111" i="1" s="1"/>
  <c r="D159" i="1"/>
  <c r="E161" i="1"/>
  <c r="Z161" i="1"/>
  <c r="AA161" i="1"/>
  <c r="AM161" i="1"/>
  <c r="AN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BR161" i="1"/>
  <c r="BS161" i="1"/>
  <c r="BT161" i="1"/>
  <c r="BU161" i="1"/>
  <c r="BV161" i="1"/>
  <c r="BW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EG161" i="1"/>
  <c r="EH161" i="1"/>
  <c r="EI161" i="1"/>
  <c r="EJ161" i="1"/>
  <c r="EK161" i="1"/>
  <c r="EL161" i="1"/>
  <c r="EM161" i="1"/>
  <c r="EN161" i="1"/>
  <c r="EO161" i="1"/>
  <c r="EP161" i="1"/>
  <c r="EQ161" i="1"/>
  <c r="ER161" i="1"/>
  <c r="ES161" i="1"/>
  <c r="ET161" i="1"/>
  <c r="EU161" i="1"/>
  <c r="EV161" i="1"/>
  <c r="EW161" i="1"/>
  <c r="EX161" i="1"/>
  <c r="EY161" i="1"/>
  <c r="EZ161" i="1"/>
  <c r="FA161" i="1"/>
  <c r="FB161" i="1"/>
  <c r="FC161" i="1"/>
  <c r="FD161" i="1"/>
  <c r="FE161" i="1"/>
  <c r="FF161" i="1"/>
  <c r="FG161" i="1"/>
  <c r="FH161" i="1"/>
  <c r="FI161" i="1"/>
  <c r="FJ161" i="1"/>
  <c r="FK161" i="1"/>
  <c r="FL161" i="1"/>
  <c r="FM161" i="1"/>
  <c r="FN161" i="1"/>
  <c r="FO161" i="1"/>
  <c r="FP161" i="1"/>
  <c r="FQ161" i="1"/>
  <c r="FR161" i="1"/>
  <c r="FS161" i="1"/>
  <c r="FT161" i="1"/>
  <c r="FU161" i="1"/>
  <c r="FV161" i="1"/>
  <c r="FW161" i="1"/>
  <c r="FX161" i="1"/>
  <c r="FY161" i="1"/>
  <c r="FZ161" i="1"/>
  <c r="GA161" i="1"/>
  <c r="GB161" i="1"/>
  <c r="GC161" i="1"/>
  <c r="GD161" i="1"/>
  <c r="GE161" i="1"/>
  <c r="GF161" i="1"/>
  <c r="GG161" i="1"/>
  <c r="GH161" i="1"/>
  <c r="GI161" i="1"/>
  <c r="GJ161" i="1"/>
  <c r="GK161" i="1"/>
  <c r="GL161" i="1"/>
  <c r="GM161" i="1"/>
  <c r="GN161" i="1"/>
  <c r="GO161" i="1"/>
  <c r="GP161" i="1"/>
  <c r="GQ161" i="1"/>
  <c r="GR161" i="1"/>
  <c r="GS161" i="1"/>
  <c r="GT161" i="1"/>
  <c r="GU161" i="1"/>
  <c r="GV161" i="1"/>
  <c r="GW161" i="1"/>
  <c r="GX161" i="1"/>
  <c r="C163" i="1"/>
  <c r="D163" i="1"/>
  <c r="I163" i="1"/>
  <c r="CX90" i="3" s="1"/>
  <c r="V163" i="1"/>
  <c r="AC163" i="1"/>
  <c r="CQ163" i="1" s="1"/>
  <c r="AE163" i="1"/>
  <c r="AD163" i="1" s="1"/>
  <c r="CR163" i="1" s="1"/>
  <c r="Q163" i="1" s="1"/>
  <c r="AF163" i="1"/>
  <c r="AG163" i="1"/>
  <c r="CU163" i="1" s="1"/>
  <c r="AH163" i="1"/>
  <c r="AI163" i="1"/>
  <c r="AJ163" i="1"/>
  <c r="CX163" i="1" s="1"/>
  <c r="W163" i="1" s="1"/>
  <c r="CS163" i="1"/>
  <c r="CT163" i="1"/>
  <c r="S163" i="1" s="1"/>
  <c r="CV163" i="1"/>
  <c r="CW163" i="1"/>
  <c r="FR163" i="1"/>
  <c r="BY172" i="1" s="1"/>
  <c r="GL163" i="1"/>
  <c r="GO163" i="1"/>
  <c r="CC172" i="1" s="1"/>
  <c r="GP163" i="1"/>
  <c r="GV163" i="1"/>
  <c r="HC163" i="1"/>
  <c r="C164" i="1"/>
  <c r="D164" i="1"/>
  <c r="AC164" i="1"/>
  <c r="AB164" i="1" s="1"/>
  <c r="AD164" i="1"/>
  <c r="CR164" i="1" s="1"/>
  <c r="AE164" i="1"/>
  <c r="AF164" i="1"/>
  <c r="AG164" i="1"/>
  <c r="AH164" i="1"/>
  <c r="CV164" i="1" s="1"/>
  <c r="AI164" i="1"/>
  <c r="AJ164" i="1"/>
  <c r="CS164" i="1"/>
  <c r="CT164" i="1"/>
  <c r="CU164" i="1"/>
  <c r="CW164" i="1"/>
  <c r="CX164" i="1"/>
  <c r="FR164" i="1"/>
  <c r="GL164" i="1"/>
  <c r="GO164" i="1"/>
  <c r="GP164" i="1"/>
  <c r="GV164" i="1"/>
  <c r="HC164" i="1" s="1"/>
  <c r="AC165" i="1"/>
  <c r="CQ165" i="1" s="1"/>
  <c r="AE165" i="1"/>
  <c r="AD165" i="1" s="1"/>
  <c r="CR165" i="1" s="1"/>
  <c r="AF165" i="1"/>
  <c r="AG165" i="1"/>
  <c r="CU165" i="1" s="1"/>
  <c r="AH165" i="1"/>
  <c r="AI165" i="1"/>
  <c r="AJ165" i="1"/>
  <c r="CS165" i="1"/>
  <c r="CT165" i="1"/>
  <c r="CV165" i="1"/>
  <c r="CW165" i="1"/>
  <c r="CX165" i="1"/>
  <c r="FR165" i="1"/>
  <c r="GL165" i="1"/>
  <c r="GO165" i="1"/>
  <c r="GP165" i="1"/>
  <c r="GV165" i="1"/>
  <c r="HC165" i="1"/>
  <c r="C166" i="1"/>
  <c r="D166" i="1"/>
  <c r="I166" i="1"/>
  <c r="T166" i="1"/>
  <c r="AC166" i="1"/>
  <c r="AD166" i="1"/>
  <c r="CR166" i="1" s="1"/>
  <c r="Q166" i="1" s="1"/>
  <c r="AE166" i="1"/>
  <c r="AF166" i="1"/>
  <c r="AG166" i="1"/>
  <c r="AH166" i="1"/>
  <c r="CV166" i="1" s="1"/>
  <c r="U166" i="1" s="1"/>
  <c r="AI166" i="1"/>
  <c r="AJ166" i="1"/>
  <c r="CQ166" i="1"/>
  <c r="P166" i="1" s="1"/>
  <c r="CS166" i="1"/>
  <c r="R166" i="1" s="1"/>
  <c r="CT166" i="1"/>
  <c r="S166" i="1" s="1"/>
  <c r="CU166" i="1"/>
  <c r="CW166" i="1"/>
  <c r="V166" i="1" s="1"/>
  <c r="CX166" i="1"/>
  <c r="W166" i="1" s="1"/>
  <c r="FR166" i="1"/>
  <c r="GL166" i="1"/>
  <c r="GO166" i="1"/>
  <c r="GP166" i="1"/>
  <c r="GV166" i="1"/>
  <c r="HC166" i="1" s="1"/>
  <c r="GX166" i="1" s="1"/>
  <c r="I167" i="1"/>
  <c r="AC167" i="1"/>
  <c r="CQ167" i="1" s="1"/>
  <c r="P167" i="1" s="1"/>
  <c r="AE167" i="1"/>
  <c r="AD167" i="1" s="1"/>
  <c r="CR167" i="1" s="1"/>
  <c r="Q167" i="1" s="1"/>
  <c r="AF167" i="1"/>
  <c r="CT167" i="1" s="1"/>
  <c r="S167" i="1" s="1"/>
  <c r="AG167" i="1"/>
  <c r="CU167" i="1" s="1"/>
  <c r="T167" i="1" s="1"/>
  <c r="AH167" i="1"/>
  <c r="AI167" i="1"/>
  <c r="AJ167" i="1"/>
  <c r="CS167" i="1"/>
  <c r="R167" i="1" s="1"/>
  <c r="CV167" i="1"/>
  <c r="U167" i="1" s="1"/>
  <c r="CW167" i="1"/>
  <c r="V167" i="1" s="1"/>
  <c r="CX167" i="1"/>
  <c r="W167" i="1" s="1"/>
  <c r="FR167" i="1"/>
  <c r="GL167" i="1"/>
  <c r="GO167" i="1"/>
  <c r="GP167" i="1"/>
  <c r="GV167" i="1"/>
  <c r="HC167" i="1"/>
  <c r="GX167" i="1" s="1"/>
  <c r="C168" i="1"/>
  <c r="D168" i="1"/>
  <c r="I168" i="1"/>
  <c r="CX109" i="3" s="1"/>
  <c r="S168" i="1"/>
  <c r="CZ168" i="1" s="1"/>
  <c r="Y168" i="1" s="1"/>
  <c r="AC168" i="1"/>
  <c r="AB168" i="1" s="1"/>
  <c r="AD168" i="1"/>
  <c r="CR168" i="1" s="1"/>
  <c r="Q168" i="1" s="1"/>
  <c r="AE168" i="1"/>
  <c r="AF168" i="1"/>
  <c r="AG168" i="1"/>
  <c r="AH168" i="1"/>
  <c r="CV168" i="1" s="1"/>
  <c r="U168" i="1" s="1"/>
  <c r="AI168" i="1"/>
  <c r="AJ168" i="1"/>
  <c r="CS168" i="1"/>
  <c r="R168" i="1" s="1"/>
  <c r="CT168" i="1"/>
  <c r="CU168" i="1"/>
  <c r="T168" i="1" s="1"/>
  <c r="CW168" i="1"/>
  <c r="V168" i="1" s="1"/>
  <c r="CX168" i="1"/>
  <c r="W168" i="1" s="1"/>
  <c r="FR168" i="1"/>
  <c r="GL168" i="1"/>
  <c r="GO168" i="1"/>
  <c r="GP168" i="1"/>
  <c r="GV168" i="1"/>
  <c r="HC168" i="1" s="1"/>
  <c r="GX168" i="1" s="1"/>
  <c r="I169" i="1"/>
  <c r="I170" i="1" s="1"/>
  <c r="R169" i="1"/>
  <c r="AC169" i="1"/>
  <c r="CQ169" i="1" s="1"/>
  <c r="AD169" i="1"/>
  <c r="AE169" i="1"/>
  <c r="AF169" i="1"/>
  <c r="AB169" i="1" s="1"/>
  <c r="AG169" i="1"/>
  <c r="CU169" i="1" s="1"/>
  <c r="AH169" i="1"/>
  <c r="AI169" i="1"/>
  <c r="AJ169" i="1"/>
  <c r="CX169" i="1" s="1"/>
  <c r="W169" i="1" s="1"/>
  <c r="CR169" i="1"/>
  <c r="Q169" i="1" s="1"/>
  <c r="CS169" i="1"/>
  <c r="CT169" i="1"/>
  <c r="S169" i="1" s="1"/>
  <c r="CV169" i="1"/>
  <c r="CW169" i="1"/>
  <c r="V169" i="1" s="1"/>
  <c r="FR169" i="1"/>
  <c r="GL169" i="1"/>
  <c r="GO169" i="1"/>
  <c r="GP169" i="1"/>
  <c r="GV169" i="1"/>
  <c r="HC169" i="1"/>
  <c r="Q170" i="1"/>
  <c r="AC170" i="1"/>
  <c r="AD170" i="1"/>
  <c r="AE170" i="1"/>
  <c r="CS170" i="1" s="1"/>
  <c r="AF170" i="1"/>
  <c r="AG170" i="1"/>
  <c r="AH170" i="1"/>
  <c r="CV170" i="1" s="1"/>
  <c r="U170" i="1" s="1"/>
  <c r="AI170" i="1"/>
  <c r="CW170" i="1" s="1"/>
  <c r="AJ170" i="1"/>
  <c r="CQ170" i="1"/>
  <c r="P170" i="1" s="1"/>
  <c r="CR170" i="1"/>
  <c r="CT170" i="1"/>
  <c r="CU170" i="1"/>
  <c r="T170" i="1" s="1"/>
  <c r="CX170" i="1"/>
  <c r="W170" i="1" s="1"/>
  <c r="FR170" i="1"/>
  <c r="GL170" i="1"/>
  <c r="GO170" i="1"/>
  <c r="GP170" i="1"/>
  <c r="GV170" i="1"/>
  <c r="HC170" i="1" s="1"/>
  <c r="GX170" i="1"/>
  <c r="B172" i="1"/>
  <c r="B161" i="1" s="1"/>
  <c r="C172" i="1"/>
  <c r="C161" i="1" s="1"/>
  <c r="D172" i="1"/>
  <c r="D161" i="1" s="1"/>
  <c r="F172" i="1"/>
  <c r="F161" i="1" s="1"/>
  <c r="G172" i="1"/>
  <c r="G161" i="1" s="1"/>
  <c r="BX172" i="1"/>
  <c r="BX161" i="1" s="1"/>
  <c r="BZ172" i="1"/>
  <c r="AQ172" i="1" s="1"/>
  <c r="AQ161" i="1" s="1"/>
  <c r="CD172" i="1"/>
  <c r="CD161" i="1" s="1"/>
  <c r="CK172" i="1"/>
  <c r="CK161" i="1" s="1"/>
  <c r="CL172" i="1"/>
  <c r="CL161" i="1" s="1"/>
  <c r="F182" i="1"/>
  <c r="D202" i="1"/>
  <c r="E204" i="1"/>
  <c r="F204" i="1"/>
  <c r="Z204" i="1"/>
  <c r="AA204" i="1"/>
  <c r="AM204" i="1"/>
  <c r="AN204" i="1"/>
  <c r="BE204" i="1"/>
  <c r="BF204" i="1"/>
  <c r="BG204" i="1"/>
  <c r="BH204" i="1"/>
  <c r="BI204" i="1"/>
  <c r="BJ204" i="1"/>
  <c r="BK204" i="1"/>
  <c r="BL204" i="1"/>
  <c r="BM204" i="1"/>
  <c r="BN204" i="1"/>
  <c r="BO204" i="1"/>
  <c r="BP204" i="1"/>
  <c r="BQ204" i="1"/>
  <c r="BR204" i="1"/>
  <c r="BS204" i="1"/>
  <c r="BT204" i="1"/>
  <c r="BU204" i="1"/>
  <c r="BV204" i="1"/>
  <c r="BW204" i="1"/>
  <c r="CN204" i="1"/>
  <c r="CO204" i="1"/>
  <c r="CP204" i="1"/>
  <c r="CQ204" i="1"/>
  <c r="CR204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S204" i="1"/>
  <c r="DT204" i="1"/>
  <c r="DU204" i="1"/>
  <c r="DV204" i="1"/>
  <c r="DW204" i="1"/>
  <c r="DX204" i="1"/>
  <c r="DY204" i="1"/>
  <c r="DZ204" i="1"/>
  <c r="EA204" i="1"/>
  <c r="EB204" i="1"/>
  <c r="EC204" i="1"/>
  <c r="ED204" i="1"/>
  <c r="EE204" i="1"/>
  <c r="EF204" i="1"/>
  <c r="EG204" i="1"/>
  <c r="EH204" i="1"/>
  <c r="EI204" i="1"/>
  <c r="EJ204" i="1"/>
  <c r="EK204" i="1"/>
  <c r="EL204" i="1"/>
  <c r="EM204" i="1"/>
  <c r="EN204" i="1"/>
  <c r="EO204" i="1"/>
  <c r="EP204" i="1"/>
  <c r="EQ204" i="1"/>
  <c r="ER204" i="1"/>
  <c r="ES204" i="1"/>
  <c r="ET204" i="1"/>
  <c r="EU204" i="1"/>
  <c r="EV204" i="1"/>
  <c r="EW204" i="1"/>
  <c r="EX204" i="1"/>
  <c r="EY204" i="1"/>
  <c r="EZ204" i="1"/>
  <c r="FA204" i="1"/>
  <c r="FB204" i="1"/>
  <c r="FC204" i="1"/>
  <c r="FD204" i="1"/>
  <c r="FE204" i="1"/>
  <c r="FF204" i="1"/>
  <c r="FG204" i="1"/>
  <c r="FH204" i="1"/>
  <c r="FI204" i="1"/>
  <c r="FJ204" i="1"/>
  <c r="FK204" i="1"/>
  <c r="FL204" i="1"/>
  <c r="FM204" i="1"/>
  <c r="FN204" i="1"/>
  <c r="FO204" i="1"/>
  <c r="FP204" i="1"/>
  <c r="FQ204" i="1"/>
  <c r="FR204" i="1"/>
  <c r="FS204" i="1"/>
  <c r="FT204" i="1"/>
  <c r="FU204" i="1"/>
  <c r="FV204" i="1"/>
  <c r="FW204" i="1"/>
  <c r="FX204" i="1"/>
  <c r="FY204" i="1"/>
  <c r="FZ204" i="1"/>
  <c r="GA204" i="1"/>
  <c r="GB204" i="1"/>
  <c r="GC204" i="1"/>
  <c r="GD204" i="1"/>
  <c r="GE204" i="1"/>
  <c r="GF204" i="1"/>
  <c r="GG204" i="1"/>
  <c r="GH204" i="1"/>
  <c r="GI204" i="1"/>
  <c r="GJ204" i="1"/>
  <c r="GK204" i="1"/>
  <c r="GL204" i="1"/>
  <c r="GM204" i="1"/>
  <c r="GN204" i="1"/>
  <c r="GO204" i="1"/>
  <c r="GP204" i="1"/>
  <c r="GQ204" i="1"/>
  <c r="GR204" i="1"/>
  <c r="GS204" i="1"/>
  <c r="GT204" i="1"/>
  <c r="GU204" i="1"/>
  <c r="GV204" i="1"/>
  <c r="GW204" i="1"/>
  <c r="GX204" i="1"/>
  <c r="C206" i="1"/>
  <c r="D206" i="1"/>
  <c r="I206" i="1"/>
  <c r="V206" i="1"/>
  <c r="AC206" i="1"/>
  <c r="AD206" i="1"/>
  <c r="AE206" i="1"/>
  <c r="AF206" i="1"/>
  <c r="CT206" i="1" s="1"/>
  <c r="AG206" i="1"/>
  <c r="AH206" i="1"/>
  <c r="CV206" i="1" s="1"/>
  <c r="AI206" i="1"/>
  <c r="AJ206" i="1"/>
  <c r="CX206" i="1" s="1"/>
  <c r="CQ206" i="1"/>
  <c r="P206" i="1" s="1"/>
  <c r="CS206" i="1"/>
  <c r="R206" i="1" s="1"/>
  <c r="CU206" i="1"/>
  <c r="T206" i="1" s="1"/>
  <c r="CW206" i="1"/>
  <c r="FR206" i="1"/>
  <c r="GL206" i="1"/>
  <c r="GO206" i="1"/>
  <c r="GP206" i="1"/>
  <c r="GV206" i="1"/>
  <c r="HC206" i="1"/>
  <c r="C207" i="1"/>
  <c r="D207" i="1"/>
  <c r="AC207" i="1"/>
  <c r="AE207" i="1"/>
  <c r="AF207" i="1"/>
  <c r="AG207" i="1"/>
  <c r="CU207" i="1" s="1"/>
  <c r="AH207" i="1"/>
  <c r="AI207" i="1"/>
  <c r="CW207" i="1" s="1"/>
  <c r="AJ207" i="1"/>
  <c r="CT207" i="1"/>
  <c r="CV207" i="1"/>
  <c r="CX207" i="1"/>
  <c r="FR207" i="1"/>
  <c r="GL207" i="1"/>
  <c r="GO207" i="1"/>
  <c r="GP207" i="1"/>
  <c r="GV207" i="1"/>
  <c r="HC207" i="1" s="1"/>
  <c r="AC208" i="1"/>
  <c r="AD208" i="1"/>
  <c r="CR208" i="1" s="1"/>
  <c r="AE208" i="1"/>
  <c r="AF208" i="1"/>
  <c r="CT208" i="1" s="1"/>
  <c r="AG208" i="1"/>
  <c r="AH208" i="1"/>
  <c r="CV208" i="1" s="1"/>
  <c r="AI208" i="1"/>
  <c r="AJ208" i="1"/>
  <c r="CX208" i="1" s="1"/>
  <c r="CQ208" i="1"/>
  <c r="CS208" i="1"/>
  <c r="CU208" i="1"/>
  <c r="CW208" i="1"/>
  <c r="FR208" i="1"/>
  <c r="GL208" i="1"/>
  <c r="GO208" i="1"/>
  <c r="GP208" i="1"/>
  <c r="GV208" i="1"/>
  <c r="HC208" i="1" s="1"/>
  <c r="C209" i="1"/>
  <c r="D209" i="1"/>
  <c r="I209" i="1"/>
  <c r="U209" i="1"/>
  <c r="AC209" i="1"/>
  <c r="AE209" i="1"/>
  <c r="AF209" i="1"/>
  <c r="AG209" i="1"/>
  <c r="CU209" i="1" s="1"/>
  <c r="T209" i="1" s="1"/>
  <c r="AH209" i="1"/>
  <c r="AI209" i="1"/>
  <c r="CW209" i="1" s="1"/>
  <c r="V209" i="1" s="1"/>
  <c r="AJ209" i="1"/>
  <c r="CT209" i="1"/>
  <c r="S209" i="1" s="1"/>
  <c r="CV209" i="1"/>
  <c r="CX209" i="1"/>
  <c r="W209" i="1" s="1"/>
  <c r="FR209" i="1"/>
  <c r="GL209" i="1"/>
  <c r="GO209" i="1"/>
  <c r="GP209" i="1"/>
  <c r="GV209" i="1"/>
  <c r="GX209" i="1"/>
  <c r="HC209" i="1"/>
  <c r="I210" i="1"/>
  <c r="AC210" i="1"/>
  <c r="AD210" i="1"/>
  <c r="AE210" i="1"/>
  <c r="AF210" i="1"/>
  <c r="CT210" i="1" s="1"/>
  <c r="AG210" i="1"/>
  <c r="AH210" i="1"/>
  <c r="CV210" i="1" s="1"/>
  <c r="U210" i="1" s="1"/>
  <c r="AI210" i="1"/>
  <c r="AJ210" i="1"/>
  <c r="CX210" i="1" s="1"/>
  <c r="CQ210" i="1"/>
  <c r="CS210" i="1"/>
  <c r="R210" i="1" s="1"/>
  <c r="CU210" i="1"/>
  <c r="CW210" i="1"/>
  <c r="FR210" i="1"/>
  <c r="GL210" i="1"/>
  <c r="GO210" i="1"/>
  <c r="GP210" i="1"/>
  <c r="GV210" i="1"/>
  <c r="HC210" i="1"/>
  <c r="I211" i="1"/>
  <c r="S211" i="1"/>
  <c r="W211" i="1"/>
  <c r="AC211" i="1"/>
  <c r="AE211" i="1"/>
  <c r="AF211" i="1"/>
  <c r="AG211" i="1"/>
  <c r="CU211" i="1" s="1"/>
  <c r="T211" i="1" s="1"/>
  <c r="AH211" i="1"/>
  <c r="AI211" i="1"/>
  <c r="CW211" i="1" s="1"/>
  <c r="V211" i="1" s="1"/>
  <c r="AJ211" i="1"/>
  <c r="CT211" i="1"/>
  <c r="CV211" i="1"/>
  <c r="U211" i="1" s="1"/>
  <c r="CX211" i="1"/>
  <c r="FR211" i="1"/>
  <c r="GL211" i="1"/>
  <c r="GO211" i="1"/>
  <c r="GP211" i="1"/>
  <c r="GV211" i="1"/>
  <c r="GX211" i="1"/>
  <c r="HC211" i="1"/>
  <c r="I212" i="1"/>
  <c r="P212" i="1"/>
  <c r="CP212" i="1" s="1"/>
  <c r="O212" i="1" s="1"/>
  <c r="X212" i="1"/>
  <c r="AC212" i="1"/>
  <c r="AD212" i="1"/>
  <c r="CR212" i="1" s="1"/>
  <c r="Q212" i="1" s="1"/>
  <c r="AE212" i="1"/>
  <c r="AF212" i="1"/>
  <c r="CT212" i="1" s="1"/>
  <c r="S212" i="1" s="1"/>
  <c r="AG212" i="1"/>
  <c r="AH212" i="1"/>
  <c r="CV212" i="1" s="1"/>
  <c r="U212" i="1" s="1"/>
  <c r="AI212" i="1"/>
  <c r="AJ212" i="1"/>
  <c r="CX212" i="1" s="1"/>
  <c r="W212" i="1" s="1"/>
  <c r="CQ212" i="1"/>
  <c r="CS212" i="1"/>
  <c r="R212" i="1" s="1"/>
  <c r="CY212" i="1" s="1"/>
  <c r="CU212" i="1"/>
  <c r="T212" i="1" s="1"/>
  <c r="CW212" i="1"/>
  <c r="V212" i="1" s="1"/>
  <c r="FR212" i="1"/>
  <c r="GL212" i="1"/>
  <c r="GO212" i="1"/>
  <c r="GP212" i="1"/>
  <c r="GV212" i="1"/>
  <c r="HC212" i="1" s="1"/>
  <c r="GX212" i="1" s="1"/>
  <c r="I213" i="1"/>
  <c r="U213" i="1"/>
  <c r="AC213" i="1"/>
  <c r="AE213" i="1"/>
  <c r="AF213" i="1"/>
  <c r="AG213" i="1"/>
  <c r="CU213" i="1" s="1"/>
  <c r="T213" i="1" s="1"/>
  <c r="AH213" i="1"/>
  <c r="AI213" i="1"/>
  <c r="CW213" i="1" s="1"/>
  <c r="V213" i="1" s="1"/>
  <c r="AJ213" i="1"/>
  <c r="CT213" i="1"/>
  <c r="S213" i="1" s="1"/>
  <c r="CV213" i="1"/>
  <c r="CX213" i="1"/>
  <c r="W213" i="1" s="1"/>
  <c r="FR213" i="1"/>
  <c r="GL213" i="1"/>
  <c r="GO213" i="1"/>
  <c r="GP213" i="1"/>
  <c r="GV213" i="1"/>
  <c r="GX213" i="1"/>
  <c r="HC213" i="1"/>
  <c r="I214" i="1"/>
  <c r="P214" i="1" s="1"/>
  <c r="CP214" i="1" s="1"/>
  <c r="O214" i="1" s="1"/>
  <c r="R214" i="1"/>
  <c r="AC214" i="1"/>
  <c r="AD214" i="1"/>
  <c r="CR214" i="1" s="1"/>
  <c r="Q214" i="1" s="1"/>
  <c r="AE214" i="1"/>
  <c r="AF214" i="1"/>
  <c r="CT214" i="1" s="1"/>
  <c r="S214" i="1" s="1"/>
  <c r="AG214" i="1"/>
  <c r="AH214" i="1"/>
  <c r="CV214" i="1" s="1"/>
  <c r="U214" i="1" s="1"/>
  <c r="AI214" i="1"/>
  <c r="AJ214" i="1"/>
  <c r="CX214" i="1" s="1"/>
  <c r="W214" i="1" s="1"/>
  <c r="CQ214" i="1"/>
  <c r="CS214" i="1"/>
  <c r="CU214" i="1"/>
  <c r="T214" i="1" s="1"/>
  <c r="CW214" i="1"/>
  <c r="V214" i="1" s="1"/>
  <c r="FR214" i="1"/>
  <c r="GL214" i="1"/>
  <c r="GO214" i="1"/>
  <c r="GP214" i="1"/>
  <c r="GV214" i="1"/>
  <c r="HC214" i="1"/>
  <c r="GX214" i="1" s="1"/>
  <c r="C215" i="1"/>
  <c r="D215" i="1"/>
  <c r="I215" i="1"/>
  <c r="CX131" i="3" s="1"/>
  <c r="S215" i="1"/>
  <c r="W215" i="1"/>
  <c r="AC215" i="1"/>
  <c r="AE215" i="1"/>
  <c r="AF215" i="1"/>
  <c r="AG215" i="1"/>
  <c r="CU215" i="1" s="1"/>
  <c r="T215" i="1" s="1"/>
  <c r="AH215" i="1"/>
  <c r="AI215" i="1"/>
  <c r="CW215" i="1" s="1"/>
  <c r="V215" i="1" s="1"/>
  <c r="AJ215" i="1"/>
  <c r="CT215" i="1"/>
  <c r="CV215" i="1"/>
  <c r="U215" i="1" s="1"/>
  <c r="CX215" i="1"/>
  <c r="FR215" i="1"/>
  <c r="GL215" i="1"/>
  <c r="GO215" i="1"/>
  <c r="GP215" i="1"/>
  <c r="GV215" i="1"/>
  <c r="GX215" i="1"/>
  <c r="HC215" i="1"/>
  <c r="AC216" i="1"/>
  <c r="AD216" i="1"/>
  <c r="CR216" i="1" s="1"/>
  <c r="AE216" i="1"/>
  <c r="AF216" i="1"/>
  <c r="CT216" i="1" s="1"/>
  <c r="AG216" i="1"/>
  <c r="AH216" i="1"/>
  <c r="CV216" i="1" s="1"/>
  <c r="AI216" i="1"/>
  <c r="AJ216" i="1"/>
  <c r="CX216" i="1" s="1"/>
  <c r="CQ216" i="1"/>
  <c r="CS216" i="1"/>
  <c r="CU216" i="1"/>
  <c r="CW216" i="1"/>
  <c r="FR216" i="1"/>
  <c r="GL216" i="1"/>
  <c r="GO216" i="1"/>
  <c r="GP216" i="1"/>
  <c r="GV216" i="1"/>
  <c r="HC216" i="1" s="1"/>
  <c r="AC217" i="1"/>
  <c r="AD217" i="1"/>
  <c r="CR217" i="1" s="1"/>
  <c r="AE217" i="1"/>
  <c r="AF217" i="1"/>
  <c r="CT217" i="1" s="1"/>
  <c r="AG217" i="1"/>
  <c r="AH217" i="1"/>
  <c r="CV217" i="1" s="1"/>
  <c r="AI217" i="1"/>
  <c r="AJ217" i="1"/>
  <c r="CX217" i="1" s="1"/>
  <c r="CQ217" i="1"/>
  <c r="CS217" i="1"/>
  <c r="CU217" i="1"/>
  <c r="CW217" i="1"/>
  <c r="FR217" i="1"/>
  <c r="GL217" i="1"/>
  <c r="GO217" i="1"/>
  <c r="GP217" i="1"/>
  <c r="GV217" i="1"/>
  <c r="HC217" i="1"/>
  <c r="B219" i="1"/>
  <c r="B204" i="1" s="1"/>
  <c r="C219" i="1"/>
  <c r="C204" i="1" s="1"/>
  <c r="D219" i="1"/>
  <c r="D204" i="1" s="1"/>
  <c r="F219" i="1"/>
  <c r="G219" i="1"/>
  <c r="G204" i="1" s="1"/>
  <c r="AT219" i="1"/>
  <c r="BX219" i="1"/>
  <c r="BX204" i="1" s="1"/>
  <c r="CC219" i="1"/>
  <c r="CC204" i="1" s="1"/>
  <c r="CK219" i="1"/>
  <c r="CL219" i="1"/>
  <c r="CL204" i="1" s="1"/>
  <c r="D249" i="1"/>
  <c r="E251" i="1"/>
  <c r="G251" i="1"/>
  <c r="Z251" i="1"/>
  <c r="AA251" i="1"/>
  <c r="AM251" i="1"/>
  <c r="AN251" i="1"/>
  <c r="BE251" i="1"/>
  <c r="BF251" i="1"/>
  <c r="BG251" i="1"/>
  <c r="BH251" i="1"/>
  <c r="BI251" i="1"/>
  <c r="BJ251" i="1"/>
  <c r="BK251" i="1"/>
  <c r="BL251" i="1"/>
  <c r="BM251" i="1"/>
  <c r="BN251" i="1"/>
  <c r="BO251" i="1"/>
  <c r="BP251" i="1"/>
  <c r="BQ251" i="1"/>
  <c r="BR251" i="1"/>
  <c r="BS251" i="1"/>
  <c r="BT251" i="1"/>
  <c r="BU251" i="1"/>
  <c r="BV251" i="1"/>
  <c r="BW251" i="1"/>
  <c r="CN251" i="1"/>
  <c r="CO251" i="1"/>
  <c r="CP251" i="1"/>
  <c r="CQ251" i="1"/>
  <c r="CR251" i="1"/>
  <c r="CS251" i="1"/>
  <c r="CT251" i="1"/>
  <c r="CU251" i="1"/>
  <c r="CV251" i="1"/>
  <c r="CW251" i="1"/>
  <c r="CX251" i="1"/>
  <c r="CY251" i="1"/>
  <c r="CZ251" i="1"/>
  <c r="DA251" i="1"/>
  <c r="DB251" i="1"/>
  <c r="DC251" i="1"/>
  <c r="DD251" i="1"/>
  <c r="DE251" i="1"/>
  <c r="DF251" i="1"/>
  <c r="DG251" i="1"/>
  <c r="DH251" i="1"/>
  <c r="DI251" i="1"/>
  <c r="DJ251" i="1"/>
  <c r="DK251" i="1"/>
  <c r="DL251" i="1"/>
  <c r="DM251" i="1"/>
  <c r="DN251" i="1"/>
  <c r="DO251" i="1"/>
  <c r="DP251" i="1"/>
  <c r="DQ251" i="1"/>
  <c r="DR251" i="1"/>
  <c r="DS251" i="1"/>
  <c r="DT251" i="1"/>
  <c r="DU251" i="1"/>
  <c r="DV251" i="1"/>
  <c r="DW251" i="1"/>
  <c r="DX251" i="1"/>
  <c r="DY251" i="1"/>
  <c r="DZ251" i="1"/>
  <c r="EA251" i="1"/>
  <c r="EB251" i="1"/>
  <c r="EC251" i="1"/>
  <c r="ED251" i="1"/>
  <c r="EE251" i="1"/>
  <c r="EF251" i="1"/>
  <c r="EG251" i="1"/>
  <c r="EH251" i="1"/>
  <c r="EI251" i="1"/>
  <c r="EJ251" i="1"/>
  <c r="EK251" i="1"/>
  <c r="EL251" i="1"/>
  <c r="EM251" i="1"/>
  <c r="EN251" i="1"/>
  <c r="EO251" i="1"/>
  <c r="EP251" i="1"/>
  <c r="EQ251" i="1"/>
  <c r="ER251" i="1"/>
  <c r="ES251" i="1"/>
  <c r="ET251" i="1"/>
  <c r="EU251" i="1"/>
  <c r="EV251" i="1"/>
  <c r="EW251" i="1"/>
  <c r="EX251" i="1"/>
  <c r="EY251" i="1"/>
  <c r="EZ251" i="1"/>
  <c r="FA251" i="1"/>
  <c r="FB251" i="1"/>
  <c r="FC251" i="1"/>
  <c r="FD251" i="1"/>
  <c r="FE251" i="1"/>
  <c r="FF251" i="1"/>
  <c r="FG251" i="1"/>
  <c r="FH251" i="1"/>
  <c r="FI251" i="1"/>
  <c r="FJ251" i="1"/>
  <c r="FK251" i="1"/>
  <c r="FL251" i="1"/>
  <c r="FM251" i="1"/>
  <c r="FN251" i="1"/>
  <c r="FO251" i="1"/>
  <c r="FP251" i="1"/>
  <c r="FQ251" i="1"/>
  <c r="FR251" i="1"/>
  <c r="FS251" i="1"/>
  <c r="FT251" i="1"/>
  <c r="FU251" i="1"/>
  <c r="FV251" i="1"/>
  <c r="FW251" i="1"/>
  <c r="FX251" i="1"/>
  <c r="FY251" i="1"/>
  <c r="FZ251" i="1"/>
  <c r="GA251" i="1"/>
  <c r="GB251" i="1"/>
  <c r="GC251" i="1"/>
  <c r="GD251" i="1"/>
  <c r="GE251" i="1"/>
  <c r="GF251" i="1"/>
  <c r="GG251" i="1"/>
  <c r="GH251" i="1"/>
  <c r="GI251" i="1"/>
  <c r="GJ251" i="1"/>
  <c r="GK251" i="1"/>
  <c r="GL251" i="1"/>
  <c r="GM251" i="1"/>
  <c r="GN251" i="1"/>
  <c r="GO251" i="1"/>
  <c r="GP251" i="1"/>
  <c r="GQ251" i="1"/>
  <c r="GR251" i="1"/>
  <c r="GS251" i="1"/>
  <c r="GT251" i="1"/>
  <c r="GU251" i="1"/>
  <c r="GV251" i="1"/>
  <c r="GW251" i="1"/>
  <c r="GX251" i="1"/>
  <c r="C253" i="1"/>
  <c r="D253" i="1"/>
  <c r="I253" i="1"/>
  <c r="AC253" i="1"/>
  <c r="AE253" i="1"/>
  <c r="AD253" i="1" s="1"/>
  <c r="CR253" i="1" s="1"/>
  <c r="Q253" i="1" s="1"/>
  <c r="AF253" i="1"/>
  <c r="AG253" i="1"/>
  <c r="CU253" i="1" s="1"/>
  <c r="T253" i="1" s="1"/>
  <c r="AH253" i="1"/>
  <c r="AI253" i="1"/>
  <c r="CW253" i="1" s="1"/>
  <c r="V253" i="1" s="1"/>
  <c r="AJ253" i="1"/>
  <c r="CX253" i="1" s="1"/>
  <c r="W253" i="1" s="1"/>
  <c r="CQ253" i="1"/>
  <c r="P253" i="1" s="1"/>
  <c r="CT253" i="1"/>
  <c r="S253" i="1" s="1"/>
  <c r="CV253" i="1"/>
  <c r="U253" i="1" s="1"/>
  <c r="FR253" i="1"/>
  <c r="GL253" i="1"/>
  <c r="GO253" i="1"/>
  <c r="GP253" i="1"/>
  <c r="GV253" i="1"/>
  <c r="HC253" i="1"/>
  <c r="GX253" i="1" s="1"/>
  <c r="I254" i="1"/>
  <c r="Q254" i="1"/>
  <c r="T254" i="1"/>
  <c r="AC254" i="1"/>
  <c r="AD254" i="1"/>
  <c r="AB254" i="1" s="1"/>
  <c r="AE254" i="1"/>
  <c r="CS254" i="1" s="1"/>
  <c r="R254" i="1" s="1"/>
  <c r="AF254" i="1"/>
  <c r="CT254" i="1" s="1"/>
  <c r="S254" i="1" s="1"/>
  <c r="CZ254" i="1" s="1"/>
  <c r="Y254" i="1" s="1"/>
  <c r="AG254" i="1"/>
  <c r="AH254" i="1"/>
  <c r="AI254" i="1"/>
  <c r="CW254" i="1" s="1"/>
  <c r="V254" i="1" s="1"/>
  <c r="AJ254" i="1"/>
  <c r="CX254" i="1" s="1"/>
  <c r="W254" i="1" s="1"/>
  <c r="CQ254" i="1"/>
  <c r="P254" i="1" s="1"/>
  <c r="CP254" i="1" s="1"/>
  <c r="O254" i="1" s="1"/>
  <c r="CR254" i="1"/>
  <c r="CU254" i="1"/>
  <c r="CV254" i="1"/>
  <c r="U254" i="1" s="1"/>
  <c r="CY254" i="1"/>
  <c r="X254" i="1" s="1"/>
  <c r="FR254" i="1"/>
  <c r="GL254" i="1"/>
  <c r="GO254" i="1"/>
  <c r="GP254" i="1"/>
  <c r="GV254" i="1"/>
  <c r="HC254" i="1" s="1"/>
  <c r="GX254" i="1" s="1"/>
  <c r="C255" i="1"/>
  <c r="D255" i="1"/>
  <c r="I255" i="1"/>
  <c r="V255" i="1"/>
  <c r="AC255" i="1"/>
  <c r="AE255" i="1"/>
  <c r="AD255" i="1" s="1"/>
  <c r="AF255" i="1"/>
  <c r="CT255" i="1" s="1"/>
  <c r="AG255" i="1"/>
  <c r="AH255" i="1"/>
  <c r="AI255" i="1"/>
  <c r="CW255" i="1" s="1"/>
  <c r="AJ255" i="1"/>
  <c r="CX255" i="1" s="1"/>
  <c r="CQ255" i="1"/>
  <c r="CU255" i="1"/>
  <c r="CV255" i="1"/>
  <c r="FR255" i="1"/>
  <c r="GL255" i="1"/>
  <c r="GO255" i="1"/>
  <c r="GP255" i="1"/>
  <c r="GV255" i="1"/>
  <c r="HC255" i="1"/>
  <c r="GX255" i="1" s="1"/>
  <c r="AC256" i="1"/>
  <c r="AD256" i="1"/>
  <c r="AB256" i="1" s="1"/>
  <c r="AE256" i="1"/>
  <c r="CS256" i="1" s="1"/>
  <c r="AF256" i="1"/>
  <c r="AG256" i="1"/>
  <c r="AH256" i="1"/>
  <c r="CV256" i="1" s="1"/>
  <c r="AI256" i="1"/>
  <c r="CW256" i="1" s="1"/>
  <c r="AJ256" i="1"/>
  <c r="CQ256" i="1"/>
  <c r="CR256" i="1"/>
  <c r="CT256" i="1"/>
  <c r="CU256" i="1"/>
  <c r="CX256" i="1"/>
  <c r="FR256" i="1"/>
  <c r="GL256" i="1"/>
  <c r="GO256" i="1"/>
  <c r="GP256" i="1"/>
  <c r="GV256" i="1"/>
  <c r="HC256" i="1" s="1"/>
  <c r="C257" i="1"/>
  <c r="D257" i="1"/>
  <c r="I257" i="1"/>
  <c r="R257" i="1"/>
  <c r="U257" i="1"/>
  <c r="AB257" i="1"/>
  <c r="AC257" i="1"/>
  <c r="AE257" i="1"/>
  <c r="AD257" i="1" s="1"/>
  <c r="AF257" i="1"/>
  <c r="CT257" i="1" s="1"/>
  <c r="AG257" i="1"/>
  <c r="AH257" i="1"/>
  <c r="AI257" i="1"/>
  <c r="AJ257" i="1"/>
  <c r="CX257" i="1" s="1"/>
  <c r="CQ257" i="1"/>
  <c r="P257" i="1" s="1"/>
  <c r="CR257" i="1"/>
  <c r="Q257" i="1" s="1"/>
  <c r="CS257" i="1"/>
  <c r="CU257" i="1"/>
  <c r="CV257" i="1"/>
  <c r="CW257" i="1"/>
  <c r="V257" i="1" s="1"/>
  <c r="FR257" i="1"/>
  <c r="GL257" i="1"/>
  <c r="GO257" i="1"/>
  <c r="GP257" i="1"/>
  <c r="GV257" i="1"/>
  <c r="GX257" i="1"/>
  <c r="HC257" i="1"/>
  <c r="AC258" i="1"/>
  <c r="AB258" i="1" s="1"/>
  <c r="AD258" i="1"/>
  <c r="AE258" i="1"/>
  <c r="CS258" i="1" s="1"/>
  <c r="AF258" i="1"/>
  <c r="AG258" i="1"/>
  <c r="AH258" i="1"/>
  <c r="AI258" i="1"/>
  <c r="CW258" i="1" s="1"/>
  <c r="AJ258" i="1"/>
  <c r="CQ258" i="1"/>
  <c r="CR258" i="1"/>
  <c r="CT258" i="1"/>
  <c r="CU258" i="1"/>
  <c r="CV258" i="1"/>
  <c r="CX258" i="1"/>
  <c r="FR258" i="1"/>
  <c r="GL258" i="1"/>
  <c r="GO258" i="1"/>
  <c r="GP258" i="1"/>
  <c r="GV258" i="1"/>
  <c r="HC258" i="1" s="1"/>
  <c r="C259" i="1"/>
  <c r="D259" i="1"/>
  <c r="I259" i="1"/>
  <c r="Q259" i="1"/>
  <c r="R259" i="1"/>
  <c r="AB259" i="1"/>
  <c r="AC259" i="1"/>
  <c r="AE259" i="1"/>
  <c r="AD259" i="1" s="1"/>
  <c r="AF259" i="1"/>
  <c r="CT259" i="1" s="1"/>
  <c r="S259" i="1" s="1"/>
  <c r="AG259" i="1"/>
  <c r="AH259" i="1"/>
  <c r="AI259" i="1"/>
  <c r="AJ259" i="1"/>
  <c r="CX259" i="1" s="1"/>
  <c r="W259" i="1" s="1"/>
  <c r="CQ259" i="1"/>
  <c r="P259" i="1" s="1"/>
  <c r="CP259" i="1" s="1"/>
  <c r="O259" i="1" s="1"/>
  <c r="CR259" i="1"/>
  <c r="CS259" i="1"/>
  <c r="CU259" i="1"/>
  <c r="T259" i="1" s="1"/>
  <c r="CV259" i="1"/>
  <c r="U259" i="1" s="1"/>
  <c r="CW259" i="1"/>
  <c r="V259" i="1" s="1"/>
  <c r="FR259" i="1"/>
  <c r="BY263" i="1" s="1"/>
  <c r="GL259" i="1"/>
  <c r="GO259" i="1"/>
  <c r="GP259" i="1"/>
  <c r="GV259" i="1"/>
  <c r="GX259" i="1"/>
  <c r="HC259" i="1"/>
  <c r="AC260" i="1"/>
  <c r="AE260" i="1"/>
  <c r="CS260" i="1" s="1"/>
  <c r="AF260" i="1"/>
  <c r="AG260" i="1"/>
  <c r="AH260" i="1"/>
  <c r="AI260" i="1"/>
  <c r="CW260" i="1" s="1"/>
  <c r="AJ260" i="1"/>
  <c r="CQ260" i="1"/>
  <c r="CT260" i="1"/>
  <c r="CU260" i="1"/>
  <c r="CV260" i="1"/>
  <c r="CX260" i="1"/>
  <c r="FR260" i="1"/>
  <c r="GL260" i="1"/>
  <c r="GO260" i="1"/>
  <c r="GP260" i="1"/>
  <c r="GV260" i="1"/>
  <c r="HC260" i="1" s="1"/>
  <c r="AC261" i="1"/>
  <c r="AD261" i="1"/>
  <c r="CR261" i="1" s="1"/>
  <c r="AE261" i="1"/>
  <c r="AF261" i="1"/>
  <c r="AG261" i="1"/>
  <c r="AH261" i="1"/>
  <c r="CV261" i="1" s="1"/>
  <c r="AI261" i="1"/>
  <c r="AJ261" i="1"/>
  <c r="CQ261" i="1"/>
  <c r="CS261" i="1"/>
  <c r="CT261" i="1"/>
  <c r="CU261" i="1"/>
  <c r="CW261" i="1"/>
  <c r="CX261" i="1"/>
  <c r="FR261" i="1"/>
  <c r="GL261" i="1"/>
  <c r="BZ263" i="1" s="1"/>
  <c r="GO261" i="1"/>
  <c r="GP261" i="1"/>
  <c r="CD263" i="1" s="1"/>
  <c r="CD251" i="1" s="1"/>
  <c r="GV261" i="1"/>
  <c r="HC261" i="1" s="1"/>
  <c r="B263" i="1"/>
  <c r="B251" i="1" s="1"/>
  <c r="C263" i="1"/>
  <c r="C251" i="1" s="1"/>
  <c r="D263" i="1"/>
  <c r="D251" i="1" s="1"/>
  <c r="F263" i="1"/>
  <c r="F251" i="1" s="1"/>
  <c r="G263" i="1"/>
  <c r="BC263" i="1"/>
  <c r="BX263" i="1"/>
  <c r="BX251" i="1" s="1"/>
  <c r="CC263" i="1"/>
  <c r="CK263" i="1"/>
  <c r="CL263" i="1"/>
  <c r="CL251" i="1" s="1"/>
  <c r="CM263" i="1"/>
  <c r="CM251" i="1" s="1"/>
  <c r="D293" i="1"/>
  <c r="D295" i="1"/>
  <c r="E295" i="1"/>
  <c r="G295" i="1"/>
  <c r="Z295" i="1"/>
  <c r="AA295" i="1"/>
  <c r="AM295" i="1"/>
  <c r="AN295" i="1"/>
  <c r="BE295" i="1"/>
  <c r="BF295" i="1"/>
  <c r="BG295" i="1"/>
  <c r="BH295" i="1"/>
  <c r="BI295" i="1"/>
  <c r="BJ295" i="1"/>
  <c r="BK295" i="1"/>
  <c r="BL295" i="1"/>
  <c r="BM295" i="1"/>
  <c r="BN295" i="1"/>
  <c r="BO295" i="1"/>
  <c r="BP295" i="1"/>
  <c r="BQ295" i="1"/>
  <c r="BR295" i="1"/>
  <c r="BS295" i="1"/>
  <c r="BT295" i="1"/>
  <c r="BU295" i="1"/>
  <c r="BV295" i="1"/>
  <c r="BW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EG295" i="1"/>
  <c r="EH295" i="1"/>
  <c r="EI295" i="1"/>
  <c r="EJ295" i="1"/>
  <c r="EK295" i="1"/>
  <c r="EL295" i="1"/>
  <c r="EM295" i="1"/>
  <c r="EN295" i="1"/>
  <c r="EO295" i="1"/>
  <c r="EP295" i="1"/>
  <c r="EQ295" i="1"/>
  <c r="ER295" i="1"/>
  <c r="ES295" i="1"/>
  <c r="ET295" i="1"/>
  <c r="EU295" i="1"/>
  <c r="EV295" i="1"/>
  <c r="EW295" i="1"/>
  <c r="EX295" i="1"/>
  <c r="EY295" i="1"/>
  <c r="EZ295" i="1"/>
  <c r="FA295" i="1"/>
  <c r="FB295" i="1"/>
  <c r="FC295" i="1"/>
  <c r="FD295" i="1"/>
  <c r="FE295" i="1"/>
  <c r="FF295" i="1"/>
  <c r="FG295" i="1"/>
  <c r="FH295" i="1"/>
  <c r="FI295" i="1"/>
  <c r="FJ295" i="1"/>
  <c r="FK295" i="1"/>
  <c r="FL295" i="1"/>
  <c r="FM295" i="1"/>
  <c r="FN295" i="1"/>
  <c r="FO295" i="1"/>
  <c r="FP295" i="1"/>
  <c r="FQ295" i="1"/>
  <c r="FR295" i="1"/>
  <c r="FS295" i="1"/>
  <c r="FT295" i="1"/>
  <c r="FU295" i="1"/>
  <c r="FV295" i="1"/>
  <c r="FW295" i="1"/>
  <c r="FX295" i="1"/>
  <c r="FY295" i="1"/>
  <c r="FZ295" i="1"/>
  <c r="GA295" i="1"/>
  <c r="GB295" i="1"/>
  <c r="GC295" i="1"/>
  <c r="GD295" i="1"/>
  <c r="GE295" i="1"/>
  <c r="GF295" i="1"/>
  <c r="GG295" i="1"/>
  <c r="GH295" i="1"/>
  <c r="GI295" i="1"/>
  <c r="GJ295" i="1"/>
  <c r="GK295" i="1"/>
  <c r="GL295" i="1"/>
  <c r="GM295" i="1"/>
  <c r="GN295" i="1"/>
  <c r="GO295" i="1"/>
  <c r="GP295" i="1"/>
  <c r="GQ295" i="1"/>
  <c r="GR295" i="1"/>
  <c r="GS295" i="1"/>
  <c r="GT295" i="1"/>
  <c r="GU295" i="1"/>
  <c r="GV295" i="1"/>
  <c r="GW295" i="1"/>
  <c r="GX295" i="1"/>
  <c r="C297" i="1"/>
  <c r="D297" i="1"/>
  <c r="AC297" i="1"/>
  <c r="AD297" i="1"/>
  <c r="CR297" i="1" s="1"/>
  <c r="AE297" i="1"/>
  <c r="AF297" i="1"/>
  <c r="AG297" i="1"/>
  <c r="AH297" i="1"/>
  <c r="CV297" i="1" s="1"/>
  <c r="AI297" i="1"/>
  <c r="AJ297" i="1"/>
  <c r="CQ297" i="1"/>
  <c r="CS297" i="1"/>
  <c r="CT297" i="1"/>
  <c r="CU297" i="1"/>
  <c r="CW297" i="1"/>
  <c r="CX297" i="1"/>
  <c r="W297" i="1" s="1"/>
  <c r="FR297" i="1"/>
  <c r="GL297" i="1"/>
  <c r="BZ302" i="1" s="1"/>
  <c r="GO297" i="1"/>
  <c r="GP297" i="1"/>
  <c r="GV297" i="1"/>
  <c r="HC297" i="1" s="1"/>
  <c r="I298" i="1"/>
  <c r="I297" i="1" s="1"/>
  <c r="AC298" i="1"/>
  <c r="CQ298" i="1" s="1"/>
  <c r="AE298" i="1"/>
  <c r="AD298" i="1" s="1"/>
  <c r="CR298" i="1" s="1"/>
  <c r="AF298" i="1"/>
  <c r="AG298" i="1"/>
  <c r="CU298" i="1" s="1"/>
  <c r="AH298" i="1"/>
  <c r="AI298" i="1"/>
  <c r="AJ298" i="1"/>
  <c r="CS298" i="1"/>
  <c r="CT298" i="1"/>
  <c r="CV298" i="1"/>
  <c r="CW298" i="1"/>
  <c r="CX298" i="1"/>
  <c r="FR298" i="1"/>
  <c r="BY302" i="1" s="1"/>
  <c r="GL298" i="1"/>
  <c r="GO298" i="1"/>
  <c r="CC302" i="1" s="1"/>
  <c r="GP298" i="1"/>
  <c r="GV298" i="1"/>
  <c r="HC298" i="1"/>
  <c r="C299" i="1"/>
  <c r="D299" i="1"/>
  <c r="AC299" i="1"/>
  <c r="AD299" i="1"/>
  <c r="CR299" i="1" s="1"/>
  <c r="AE299" i="1"/>
  <c r="AF299" i="1"/>
  <c r="AG299" i="1"/>
  <c r="AH299" i="1"/>
  <c r="CV299" i="1" s="1"/>
  <c r="AI299" i="1"/>
  <c r="AJ299" i="1"/>
  <c r="CQ299" i="1"/>
  <c r="CS299" i="1"/>
  <c r="CT299" i="1"/>
  <c r="CU299" i="1"/>
  <c r="CW299" i="1"/>
  <c r="CX299" i="1"/>
  <c r="FR299" i="1"/>
  <c r="GL299" i="1"/>
  <c r="GO299" i="1"/>
  <c r="GP299" i="1"/>
  <c r="GV299" i="1"/>
  <c r="HC299" i="1" s="1"/>
  <c r="C300" i="1"/>
  <c r="D300" i="1"/>
  <c r="AC300" i="1"/>
  <c r="AB300" i="1" s="1"/>
  <c r="AD300" i="1"/>
  <c r="AE300" i="1"/>
  <c r="CS300" i="1" s="1"/>
  <c r="AF300" i="1"/>
  <c r="AG300" i="1"/>
  <c r="AH300" i="1"/>
  <c r="AI300" i="1"/>
  <c r="CW300" i="1" s="1"/>
  <c r="AJ300" i="1"/>
  <c r="CQ300" i="1"/>
  <c r="CR300" i="1"/>
  <c r="CT300" i="1"/>
  <c r="CU300" i="1"/>
  <c r="CV300" i="1"/>
  <c r="CX300" i="1"/>
  <c r="FR300" i="1"/>
  <c r="GL300" i="1"/>
  <c r="GO300" i="1"/>
  <c r="GP300" i="1"/>
  <c r="GV300" i="1"/>
  <c r="HC300" i="1" s="1"/>
  <c r="B302" i="1"/>
  <c r="B295" i="1" s="1"/>
  <c r="C302" i="1"/>
  <c r="C295" i="1" s="1"/>
  <c r="D302" i="1"/>
  <c r="F302" i="1"/>
  <c r="F295" i="1" s="1"/>
  <c r="G302" i="1"/>
  <c r="BC302" i="1"/>
  <c r="F318" i="1" s="1"/>
  <c r="BD302" i="1"/>
  <c r="BX302" i="1"/>
  <c r="BX295" i="1" s="1"/>
  <c r="CD302" i="1"/>
  <c r="CK302" i="1"/>
  <c r="CK295" i="1" s="1"/>
  <c r="CL302" i="1"/>
  <c r="CL295" i="1" s="1"/>
  <c r="CM302" i="1"/>
  <c r="CM295" i="1" s="1"/>
  <c r="D332" i="1"/>
  <c r="E334" i="1"/>
  <c r="G334" i="1"/>
  <c r="Z334" i="1"/>
  <c r="AA334" i="1"/>
  <c r="AM334" i="1"/>
  <c r="AN334" i="1"/>
  <c r="BE334" i="1"/>
  <c r="BF334" i="1"/>
  <c r="BG334" i="1"/>
  <c r="BH334" i="1"/>
  <c r="BI334" i="1"/>
  <c r="BJ334" i="1"/>
  <c r="BK334" i="1"/>
  <c r="BL334" i="1"/>
  <c r="BM334" i="1"/>
  <c r="BN334" i="1"/>
  <c r="BO334" i="1"/>
  <c r="BP334" i="1"/>
  <c r="BQ334" i="1"/>
  <c r="BR334" i="1"/>
  <c r="BS334" i="1"/>
  <c r="BT334" i="1"/>
  <c r="BU334" i="1"/>
  <c r="BV334" i="1"/>
  <c r="BW334" i="1"/>
  <c r="CN334" i="1"/>
  <c r="CO334" i="1"/>
  <c r="CP334" i="1"/>
  <c r="CQ334" i="1"/>
  <c r="CR334" i="1"/>
  <c r="CS334" i="1"/>
  <c r="CT334" i="1"/>
  <c r="CU334" i="1"/>
  <c r="CV334" i="1"/>
  <c r="CW334" i="1"/>
  <c r="CX334" i="1"/>
  <c r="CY334" i="1"/>
  <c r="CZ334" i="1"/>
  <c r="DA334" i="1"/>
  <c r="DB334" i="1"/>
  <c r="DC334" i="1"/>
  <c r="DD334" i="1"/>
  <c r="DE334" i="1"/>
  <c r="DF334" i="1"/>
  <c r="DG334" i="1"/>
  <c r="DH334" i="1"/>
  <c r="DI334" i="1"/>
  <c r="DJ334" i="1"/>
  <c r="DK334" i="1"/>
  <c r="DL334" i="1"/>
  <c r="DM334" i="1"/>
  <c r="DN334" i="1"/>
  <c r="DO334" i="1"/>
  <c r="DP334" i="1"/>
  <c r="DQ334" i="1"/>
  <c r="DR334" i="1"/>
  <c r="DS334" i="1"/>
  <c r="DT334" i="1"/>
  <c r="DU334" i="1"/>
  <c r="DV334" i="1"/>
  <c r="DW334" i="1"/>
  <c r="DX334" i="1"/>
  <c r="DY334" i="1"/>
  <c r="DZ334" i="1"/>
  <c r="EA334" i="1"/>
  <c r="EB334" i="1"/>
  <c r="EC334" i="1"/>
  <c r="ED334" i="1"/>
  <c r="EE334" i="1"/>
  <c r="EF334" i="1"/>
  <c r="EG334" i="1"/>
  <c r="EH334" i="1"/>
  <c r="EI334" i="1"/>
  <c r="EJ334" i="1"/>
  <c r="EK334" i="1"/>
  <c r="EL334" i="1"/>
  <c r="EM334" i="1"/>
  <c r="EN334" i="1"/>
  <c r="EO334" i="1"/>
  <c r="EP334" i="1"/>
  <c r="EQ334" i="1"/>
  <c r="ER334" i="1"/>
  <c r="ES334" i="1"/>
  <c r="ET334" i="1"/>
  <c r="EU334" i="1"/>
  <c r="EV334" i="1"/>
  <c r="EW334" i="1"/>
  <c r="EX334" i="1"/>
  <c r="EY334" i="1"/>
  <c r="EZ334" i="1"/>
  <c r="FA334" i="1"/>
  <c r="FB334" i="1"/>
  <c r="FC334" i="1"/>
  <c r="FD334" i="1"/>
  <c r="FE334" i="1"/>
  <c r="FF334" i="1"/>
  <c r="FG334" i="1"/>
  <c r="FH334" i="1"/>
  <c r="FI334" i="1"/>
  <c r="FJ334" i="1"/>
  <c r="FK334" i="1"/>
  <c r="FL334" i="1"/>
  <c r="FM334" i="1"/>
  <c r="FN334" i="1"/>
  <c r="FO334" i="1"/>
  <c r="FP334" i="1"/>
  <c r="FQ334" i="1"/>
  <c r="FR334" i="1"/>
  <c r="FS334" i="1"/>
  <c r="FT334" i="1"/>
  <c r="FU334" i="1"/>
  <c r="FV334" i="1"/>
  <c r="FW334" i="1"/>
  <c r="FX334" i="1"/>
  <c r="FY334" i="1"/>
  <c r="FZ334" i="1"/>
  <c r="GA334" i="1"/>
  <c r="GB334" i="1"/>
  <c r="GC334" i="1"/>
  <c r="GD334" i="1"/>
  <c r="GE334" i="1"/>
  <c r="GF334" i="1"/>
  <c r="GG334" i="1"/>
  <c r="GH334" i="1"/>
  <c r="GI334" i="1"/>
  <c r="GJ334" i="1"/>
  <c r="GK334" i="1"/>
  <c r="GL334" i="1"/>
  <c r="GM334" i="1"/>
  <c r="GN334" i="1"/>
  <c r="GO334" i="1"/>
  <c r="GP334" i="1"/>
  <c r="GQ334" i="1"/>
  <c r="GR334" i="1"/>
  <c r="GS334" i="1"/>
  <c r="GT334" i="1"/>
  <c r="GU334" i="1"/>
  <c r="GV334" i="1"/>
  <c r="GW334" i="1"/>
  <c r="GX334" i="1"/>
  <c r="C336" i="1"/>
  <c r="D336" i="1"/>
  <c r="P336" i="1"/>
  <c r="Y336" i="1"/>
  <c r="AC336" i="1"/>
  <c r="AE336" i="1"/>
  <c r="CS336" i="1" s="1"/>
  <c r="R336" i="1" s="1"/>
  <c r="AF336" i="1"/>
  <c r="AG336" i="1"/>
  <c r="AH336" i="1"/>
  <c r="AI336" i="1"/>
  <c r="CW336" i="1" s="1"/>
  <c r="V336" i="1" s="1"/>
  <c r="AJ336" i="1"/>
  <c r="CQ336" i="1"/>
  <c r="CT336" i="1"/>
  <c r="S336" i="1" s="1"/>
  <c r="CY336" i="1" s="1"/>
  <c r="X336" i="1" s="1"/>
  <c r="CU336" i="1"/>
  <c r="T336" i="1" s="1"/>
  <c r="CV336" i="1"/>
  <c r="U336" i="1" s="1"/>
  <c r="CX336" i="1"/>
  <c r="CZ336" i="1"/>
  <c r="FR336" i="1"/>
  <c r="GL336" i="1"/>
  <c r="GO336" i="1"/>
  <c r="GP336" i="1"/>
  <c r="GV336" i="1"/>
  <c r="HC336" i="1" s="1"/>
  <c r="GX336" i="1"/>
  <c r="I337" i="1"/>
  <c r="I336" i="1" s="1"/>
  <c r="S337" i="1"/>
  <c r="AC337" i="1"/>
  <c r="AD337" i="1"/>
  <c r="CR337" i="1" s="1"/>
  <c r="Q337" i="1" s="1"/>
  <c r="AE337" i="1"/>
  <c r="AF337" i="1"/>
  <c r="AG337" i="1"/>
  <c r="AH337" i="1"/>
  <c r="CV337" i="1" s="1"/>
  <c r="U337" i="1" s="1"/>
  <c r="AI337" i="1"/>
  <c r="AJ337" i="1"/>
  <c r="CS337" i="1"/>
  <c r="R337" i="1" s="1"/>
  <c r="CT337" i="1"/>
  <c r="CU337" i="1"/>
  <c r="T337" i="1" s="1"/>
  <c r="CW337" i="1"/>
  <c r="V337" i="1" s="1"/>
  <c r="CX337" i="1"/>
  <c r="W337" i="1" s="1"/>
  <c r="FR337" i="1"/>
  <c r="BY341" i="1" s="1"/>
  <c r="GL337" i="1"/>
  <c r="GO337" i="1"/>
  <c r="CC341" i="1" s="1"/>
  <c r="GP337" i="1"/>
  <c r="CD341" i="1" s="1"/>
  <c r="GV337" i="1"/>
  <c r="HC337" i="1" s="1"/>
  <c r="GX337" i="1" s="1"/>
  <c r="C338" i="1"/>
  <c r="D338" i="1"/>
  <c r="AC338" i="1"/>
  <c r="AE338" i="1"/>
  <c r="AF338" i="1"/>
  <c r="AG338" i="1"/>
  <c r="AH338" i="1"/>
  <c r="CV338" i="1" s="1"/>
  <c r="AI338" i="1"/>
  <c r="CW338" i="1" s="1"/>
  <c r="AJ338" i="1"/>
  <c r="CQ338" i="1"/>
  <c r="CT338" i="1"/>
  <c r="CU338" i="1"/>
  <c r="CX338" i="1"/>
  <c r="FR338" i="1"/>
  <c r="GL338" i="1"/>
  <c r="GO338" i="1"/>
  <c r="GP338" i="1"/>
  <c r="GV338" i="1"/>
  <c r="HC338" i="1" s="1"/>
  <c r="C339" i="1"/>
  <c r="D339" i="1"/>
  <c r="AC339" i="1"/>
  <c r="AE339" i="1"/>
  <c r="AD339" i="1" s="1"/>
  <c r="AF339" i="1"/>
  <c r="CT339" i="1" s="1"/>
  <c r="AG339" i="1"/>
  <c r="AH339" i="1"/>
  <c r="CV339" i="1" s="1"/>
  <c r="AI339" i="1"/>
  <c r="CW339" i="1" s="1"/>
  <c r="AJ339" i="1"/>
  <c r="CX339" i="1" s="1"/>
  <c r="CQ339" i="1"/>
  <c r="CS339" i="1"/>
  <c r="CU339" i="1"/>
  <c r="FR339" i="1"/>
  <c r="GL339" i="1"/>
  <c r="GO339" i="1"/>
  <c r="GP339" i="1"/>
  <c r="GV339" i="1"/>
  <c r="HC339" i="1" s="1"/>
  <c r="B341" i="1"/>
  <c r="B334" i="1" s="1"/>
  <c r="C341" i="1"/>
  <c r="C334" i="1" s="1"/>
  <c r="D341" i="1"/>
  <c r="D334" i="1" s="1"/>
  <c r="F341" i="1"/>
  <c r="F334" i="1" s="1"/>
  <c r="G341" i="1"/>
  <c r="BD341" i="1"/>
  <c r="BX341" i="1"/>
  <c r="CG341" i="1" s="1"/>
  <c r="BZ341" i="1"/>
  <c r="BZ334" i="1" s="1"/>
  <c r="CK341" i="1"/>
  <c r="CK334" i="1" s="1"/>
  <c r="CL341" i="1"/>
  <c r="CM341" i="1"/>
  <c r="CM334" i="1" s="1"/>
  <c r="B371" i="1"/>
  <c r="B26" i="1" s="1"/>
  <c r="C371" i="1"/>
  <c r="C26" i="1" s="1"/>
  <c r="D371" i="1"/>
  <c r="D26" i="1" s="1"/>
  <c r="F371" i="1"/>
  <c r="F26" i="1" s="1"/>
  <c r="G371" i="1"/>
  <c r="G26" i="1" s="1"/>
  <c r="D408" i="1"/>
  <c r="D410" i="1"/>
  <c r="E410" i="1"/>
  <c r="Z410" i="1"/>
  <c r="AA410" i="1"/>
  <c r="AM410" i="1"/>
  <c r="AN410" i="1"/>
  <c r="BE410" i="1"/>
  <c r="BF410" i="1"/>
  <c r="BG410" i="1"/>
  <c r="BH410" i="1"/>
  <c r="BI410" i="1"/>
  <c r="BJ410" i="1"/>
  <c r="BK410" i="1"/>
  <c r="BL410" i="1"/>
  <c r="BM410" i="1"/>
  <c r="BN410" i="1"/>
  <c r="BO410" i="1"/>
  <c r="BP410" i="1"/>
  <c r="BQ410" i="1"/>
  <c r="BR410" i="1"/>
  <c r="BS410" i="1"/>
  <c r="BT410" i="1"/>
  <c r="BU410" i="1"/>
  <c r="BV410" i="1"/>
  <c r="BW410" i="1"/>
  <c r="CK410" i="1"/>
  <c r="CN410" i="1"/>
  <c r="CO410" i="1"/>
  <c r="CP410" i="1"/>
  <c r="CQ410" i="1"/>
  <c r="CR410" i="1"/>
  <c r="CS410" i="1"/>
  <c r="CT410" i="1"/>
  <c r="CU410" i="1"/>
  <c r="CV410" i="1"/>
  <c r="CW410" i="1"/>
  <c r="CX410" i="1"/>
  <c r="CY410" i="1"/>
  <c r="CZ410" i="1"/>
  <c r="DA410" i="1"/>
  <c r="DB410" i="1"/>
  <c r="DC410" i="1"/>
  <c r="DD410" i="1"/>
  <c r="DE410" i="1"/>
  <c r="DF410" i="1"/>
  <c r="DG410" i="1"/>
  <c r="DH410" i="1"/>
  <c r="DI410" i="1"/>
  <c r="DJ410" i="1"/>
  <c r="DK410" i="1"/>
  <c r="DL410" i="1"/>
  <c r="DM410" i="1"/>
  <c r="DN410" i="1"/>
  <c r="DO410" i="1"/>
  <c r="DP410" i="1"/>
  <c r="DQ410" i="1"/>
  <c r="DR410" i="1"/>
  <c r="DS410" i="1"/>
  <c r="DT410" i="1"/>
  <c r="DU410" i="1"/>
  <c r="DV410" i="1"/>
  <c r="DW410" i="1"/>
  <c r="DX410" i="1"/>
  <c r="DY410" i="1"/>
  <c r="DZ410" i="1"/>
  <c r="EA410" i="1"/>
  <c r="EB410" i="1"/>
  <c r="EC410" i="1"/>
  <c r="ED410" i="1"/>
  <c r="EE410" i="1"/>
  <c r="EF410" i="1"/>
  <c r="EG410" i="1"/>
  <c r="EH410" i="1"/>
  <c r="EI410" i="1"/>
  <c r="EJ410" i="1"/>
  <c r="EK410" i="1"/>
  <c r="EL410" i="1"/>
  <c r="EM410" i="1"/>
  <c r="EN410" i="1"/>
  <c r="EO410" i="1"/>
  <c r="EP410" i="1"/>
  <c r="EQ410" i="1"/>
  <c r="ER410" i="1"/>
  <c r="ES410" i="1"/>
  <c r="ET410" i="1"/>
  <c r="EU410" i="1"/>
  <c r="EV410" i="1"/>
  <c r="EW410" i="1"/>
  <c r="EX410" i="1"/>
  <c r="EY410" i="1"/>
  <c r="EZ410" i="1"/>
  <c r="FA410" i="1"/>
  <c r="FB410" i="1"/>
  <c r="FC410" i="1"/>
  <c r="FD410" i="1"/>
  <c r="FE410" i="1"/>
  <c r="FF410" i="1"/>
  <c r="FG410" i="1"/>
  <c r="FH410" i="1"/>
  <c r="FI410" i="1"/>
  <c r="FJ410" i="1"/>
  <c r="FK410" i="1"/>
  <c r="FL410" i="1"/>
  <c r="FM410" i="1"/>
  <c r="FN410" i="1"/>
  <c r="FO410" i="1"/>
  <c r="FP410" i="1"/>
  <c r="FQ410" i="1"/>
  <c r="FR410" i="1"/>
  <c r="FS410" i="1"/>
  <c r="FT410" i="1"/>
  <c r="FU410" i="1"/>
  <c r="FV410" i="1"/>
  <c r="FW410" i="1"/>
  <c r="FX410" i="1"/>
  <c r="FY410" i="1"/>
  <c r="FZ410" i="1"/>
  <c r="GA410" i="1"/>
  <c r="GB410" i="1"/>
  <c r="GC410" i="1"/>
  <c r="GD410" i="1"/>
  <c r="GE410" i="1"/>
  <c r="GF410" i="1"/>
  <c r="GG410" i="1"/>
  <c r="GH410" i="1"/>
  <c r="GI410" i="1"/>
  <c r="GJ410" i="1"/>
  <c r="GK410" i="1"/>
  <c r="GL410" i="1"/>
  <c r="GM410" i="1"/>
  <c r="GN410" i="1"/>
  <c r="GO410" i="1"/>
  <c r="GP410" i="1"/>
  <c r="GQ410" i="1"/>
  <c r="GR410" i="1"/>
  <c r="GS410" i="1"/>
  <c r="GT410" i="1"/>
  <c r="GU410" i="1"/>
  <c r="GV410" i="1"/>
  <c r="GW410" i="1"/>
  <c r="GX410" i="1"/>
  <c r="C412" i="1"/>
  <c r="D412" i="1"/>
  <c r="S412" i="1"/>
  <c r="AC412" i="1"/>
  <c r="AD412" i="1"/>
  <c r="CR412" i="1" s="1"/>
  <c r="AE412" i="1"/>
  <c r="AF412" i="1"/>
  <c r="AG412" i="1"/>
  <c r="AH412" i="1"/>
  <c r="CV412" i="1" s="1"/>
  <c r="AI412" i="1"/>
  <c r="AJ412" i="1"/>
  <c r="CQ412" i="1"/>
  <c r="CS412" i="1"/>
  <c r="R412" i="1" s="1"/>
  <c r="CT412" i="1"/>
  <c r="CU412" i="1"/>
  <c r="CW412" i="1"/>
  <c r="CX412" i="1"/>
  <c r="W412" i="1" s="1"/>
  <c r="FR412" i="1"/>
  <c r="GL412" i="1"/>
  <c r="GO412" i="1"/>
  <c r="GP412" i="1"/>
  <c r="GV412" i="1"/>
  <c r="HC412" i="1"/>
  <c r="AC413" i="1"/>
  <c r="CQ413" i="1" s="1"/>
  <c r="AD413" i="1"/>
  <c r="AE413" i="1"/>
  <c r="AF413" i="1"/>
  <c r="AG413" i="1"/>
  <c r="CU413" i="1" s="1"/>
  <c r="AH413" i="1"/>
  <c r="AI413" i="1"/>
  <c r="AJ413" i="1"/>
  <c r="CR413" i="1"/>
  <c r="CS413" i="1"/>
  <c r="CT413" i="1"/>
  <c r="CV413" i="1"/>
  <c r="CW413" i="1"/>
  <c r="CX413" i="1"/>
  <c r="FR413" i="1"/>
  <c r="GL413" i="1"/>
  <c r="GO413" i="1"/>
  <c r="GP413" i="1"/>
  <c r="GV413" i="1"/>
  <c r="HC413" i="1"/>
  <c r="AC414" i="1"/>
  <c r="AB414" i="1" s="1"/>
  <c r="AD414" i="1"/>
  <c r="AE414" i="1"/>
  <c r="CS414" i="1" s="1"/>
  <c r="AF414" i="1"/>
  <c r="AG414" i="1"/>
  <c r="AH414" i="1"/>
  <c r="AI414" i="1"/>
  <c r="CW414" i="1" s="1"/>
  <c r="AJ414" i="1"/>
  <c r="CR414" i="1"/>
  <c r="CT414" i="1"/>
  <c r="CU414" i="1"/>
  <c r="CV414" i="1"/>
  <c r="CX414" i="1"/>
  <c r="FR414" i="1"/>
  <c r="BY427" i="1" s="1"/>
  <c r="GL414" i="1"/>
  <c r="GO414" i="1"/>
  <c r="GP414" i="1"/>
  <c r="GV414" i="1"/>
  <c r="HC414" i="1" s="1"/>
  <c r="C415" i="1"/>
  <c r="D415" i="1"/>
  <c r="S415" i="1"/>
  <c r="W415" i="1"/>
  <c r="AC415" i="1"/>
  <c r="AD415" i="1"/>
  <c r="CR415" i="1" s="1"/>
  <c r="Q415" i="1" s="1"/>
  <c r="AE415" i="1"/>
  <c r="CS415" i="1" s="1"/>
  <c r="R415" i="1" s="1"/>
  <c r="AF415" i="1"/>
  <c r="AG415" i="1"/>
  <c r="AH415" i="1"/>
  <c r="AI415" i="1"/>
  <c r="CW415" i="1" s="1"/>
  <c r="V415" i="1" s="1"/>
  <c r="AJ415" i="1"/>
  <c r="CQ415" i="1"/>
  <c r="P415" i="1" s="1"/>
  <c r="U495" i="5" s="1"/>
  <c r="CT415" i="1"/>
  <c r="CU415" i="1"/>
  <c r="T415" i="1" s="1"/>
  <c r="CV415" i="1"/>
  <c r="U415" i="1" s="1"/>
  <c r="CX415" i="1"/>
  <c r="FR415" i="1"/>
  <c r="GL415" i="1"/>
  <c r="GO415" i="1"/>
  <c r="CC427" i="1" s="1"/>
  <c r="CC410" i="1" s="1"/>
  <c r="GP415" i="1"/>
  <c r="GV415" i="1"/>
  <c r="HC415" i="1" s="1"/>
  <c r="GX415" i="1"/>
  <c r="C416" i="1"/>
  <c r="D416" i="1"/>
  <c r="Q416" i="1"/>
  <c r="R416" i="1"/>
  <c r="V416" i="1"/>
  <c r="AC416" i="1"/>
  <c r="AD416" i="1"/>
  <c r="AE416" i="1"/>
  <c r="AF416" i="1"/>
  <c r="CT416" i="1" s="1"/>
  <c r="S416" i="1" s="1"/>
  <c r="AG416" i="1"/>
  <c r="AH416" i="1"/>
  <c r="AI416" i="1"/>
  <c r="AJ416" i="1"/>
  <c r="CX416" i="1" s="1"/>
  <c r="W416" i="1" s="1"/>
  <c r="CQ416" i="1"/>
  <c r="P416" i="1" s="1"/>
  <c r="U506" i="5" s="1"/>
  <c r="CR416" i="1"/>
  <c r="CS416" i="1"/>
  <c r="CU416" i="1"/>
  <c r="T416" i="1" s="1"/>
  <c r="CV416" i="1"/>
  <c r="U416" i="1" s="1"/>
  <c r="CW416" i="1"/>
  <c r="FR416" i="1"/>
  <c r="GL416" i="1"/>
  <c r="GO416" i="1"/>
  <c r="GP416" i="1"/>
  <c r="GV416" i="1"/>
  <c r="HC416" i="1"/>
  <c r="GX416" i="1" s="1"/>
  <c r="C417" i="1"/>
  <c r="D417" i="1"/>
  <c r="I417" i="1"/>
  <c r="AB417" i="1"/>
  <c r="AC417" i="1"/>
  <c r="CQ417" i="1" s="1"/>
  <c r="AE417" i="1"/>
  <c r="AD417" i="1" s="1"/>
  <c r="AF417" i="1"/>
  <c r="CT417" i="1" s="1"/>
  <c r="S417" i="1" s="1"/>
  <c r="AG417" i="1"/>
  <c r="CU417" i="1" s="1"/>
  <c r="T417" i="1" s="1"/>
  <c r="AH417" i="1"/>
  <c r="AI417" i="1"/>
  <c r="AJ417" i="1"/>
  <c r="CX417" i="1" s="1"/>
  <c r="W417" i="1" s="1"/>
  <c r="CR417" i="1"/>
  <c r="Q417" i="1" s="1"/>
  <c r="CS417" i="1"/>
  <c r="R417" i="1" s="1"/>
  <c r="CV417" i="1"/>
  <c r="U417" i="1" s="1"/>
  <c r="CW417" i="1"/>
  <c r="V417" i="1" s="1"/>
  <c r="FR417" i="1"/>
  <c r="GL417" i="1"/>
  <c r="GO417" i="1"/>
  <c r="GP417" i="1"/>
  <c r="GV417" i="1"/>
  <c r="HC417" i="1"/>
  <c r="GX417" i="1" s="1"/>
  <c r="I418" i="1"/>
  <c r="P418" i="1" s="1"/>
  <c r="T418" i="1"/>
  <c r="AC418" i="1"/>
  <c r="AE418" i="1"/>
  <c r="AD418" i="1" s="1"/>
  <c r="AF418" i="1"/>
  <c r="CT418" i="1" s="1"/>
  <c r="AG418" i="1"/>
  <c r="AH418" i="1"/>
  <c r="CV418" i="1" s="1"/>
  <c r="U418" i="1" s="1"/>
  <c r="AI418" i="1"/>
  <c r="CW418" i="1" s="1"/>
  <c r="V418" i="1" s="1"/>
  <c r="AJ418" i="1"/>
  <c r="CX418" i="1" s="1"/>
  <c r="CQ418" i="1"/>
  <c r="CS418" i="1"/>
  <c r="R418" i="1" s="1"/>
  <c r="CU418" i="1"/>
  <c r="FR418" i="1"/>
  <c r="GL418" i="1"/>
  <c r="GO418" i="1"/>
  <c r="GP418" i="1"/>
  <c r="GV418" i="1"/>
  <c r="HC418" i="1" s="1"/>
  <c r="GX418" i="1" s="1"/>
  <c r="AC419" i="1"/>
  <c r="AD419" i="1"/>
  <c r="CR419" i="1" s="1"/>
  <c r="AE419" i="1"/>
  <c r="CS419" i="1" s="1"/>
  <c r="AF419" i="1"/>
  <c r="AG419" i="1"/>
  <c r="AH419" i="1"/>
  <c r="AI419" i="1"/>
  <c r="CW419" i="1" s="1"/>
  <c r="AJ419" i="1"/>
  <c r="CT419" i="1"/>
  <c r="CU419" i="1"/>
  <c r="CV419" i="1"/>
  <c r="CX419" i="1"/>
  <c r="FR419" i="1"/>
  <c r="GL419" i="1"/>
  <c r="GO419" i="1"/>
  <c r="GP419" i="1"/>
  <c r="GV419" i="1"/>
  <c r="HC419" i="1" s="1"/>
  <c r="C420" i="1"/>
  <c r="D420" i="1"/>
  <c r="I420" i="1"/>
  <c r="P420" i="1"/>
  <c r="U420" i="1"/>
  <c r="AC420" i="1"/>
  <c r="AE420" i="1"/>
  <c r="AD420" i="1" s="1"/>
  <c r="CR420" i="1" s="1"/>
  <c r="Q420" i="1" s="1"/>
  <c r="AF420" i="1"/>
  <c r="CT420" i="1" s="1"/>
  <c r="S420" i="1" s="1"/>
  <c r="CZ420" i="1" s="1"/>
  <c r="Y420" i="1" s="1"/>
  <c r="AG420" i="1"/>
  <c r="AH420" i="1"/>
  <c r="AI420" i="1"/>
  <c r="CW420" i="1" s="1"/>
  <c r="V420" i="1" s="1"/>
  <c r="AJ420" i="1"/>
  <c r="CX420" i="1" s="1"/>
  <c r="W420" i="1" s="1"/>
  <c r="CQ420" i="1"/>
  <c r="CS420" i="1"/>
  <c r="R420" i="1" s="1"/>
  <c r="CU420" i="1"/>
  <c r="T420" i="1" s="1"/>
  <c r="CV420" i="1"/>
  <c r="FR420" i="1"/>
  <c r="GL420" i="1"/>
  <c r="GO420" i="1"/>
  <c r="GP420" i="1"/>
  <c r="GV420" i="1"/>
  <c r="HC420" i="1" s="1"/>
  <c r="GX420" i="1"/>
  <c r="AC421" i="1"/>
  <c r="AD421" i="1"/>
  <c r="CR421" i="1" s="1"/>
  <c r="AE421" i="1"/>
  <c r="CS421" i="1" s="1"/>
  <c r="AF421" i="1"/>
  <c r="AG421" i="1"/>
  <c r="CU421" i="1" s="1"/>
  <c r="AH421" i="1"/>
  <c r="CV421" i="1" s="1"/>
  <c r="AI421" i="1"/>
  <c r="CW421" i="1" s="1"/>
  <c r="AJ421" i="1"/>
  <c r="CQ421" i="1"/>
  <c r="CT421" i="1"/>
  <c r="CX421" i="1"/>
  <c r="FR421" i="1"/>
  <c r="GL421" i="1"/>
  <c r="GO421" i="1"/>
  <c r="GP421" i="1"/>
  <c r="GV421" i="1"/>
  <c r="HC421" i="1" s="1"/>
  <c r="I422" i="1"/>
  <c r="T422" i="1" s="1"/>
  <c r="AC422" i="1"/>
  <c r="AD422" i="1"/>
  <c r="CR422" i="1" s="1"/>
  <c r="AE422" i="1"/>
  <c r="AF422" i="1"/>
  <c r="AG422" i="1"/>
  <c r="AH422" i="1"/>
  <c r="CV422" i="1" s="1"/>
  <c r="AI422" i="1"/>
  <c r="AJ422" i="1"/>
  <c r="CQ422" i="1"/>
  <c r="CS422" i="1"/>
  <c r="R422" i="1" s="1"/>
  <c r="CT422" i="1"/>
  <c r="CU422" i="1"/>
  <c r="CW422" i="1"/>
  <c r="CX422" i="1"/>
  <c r="W422" i="1" s="1"/>
  <c r="FR422" i="1"/>
  <c r="GL422" i="1"/>
  <c r="GO422" i="1"/>
  <c r="GP422" i="1"/>
  <c r="GV422" i="1"/>
  <c r="HC422" i="1"/>
  <c r="AC423" i="1"/>
  <c r="CQ423" i="1" s="1"/>
  <c r="AE423" i="1"/>
  <c r="AD423" i="1" s="1"/>
  <c r="CR423" i="1" s="1"/>
  <c r="AF423" i="1"/>
  <c r="AG423" i="1"/>
  <c r="AH423" i="1"/>
  <c r="AI423" i="1"/>
  <c r="CW423" i="1" s="1"/>
  <c r="AJ423" i="1"/>
  <c r="CT423" i="1"/>
  <c r="CU423" i="1"/>
  <c r="CV423" i="1"/>
  <c r="CX423" i="1"/>
  <c r="FR423" i="1"/>
  <c r="GL423" i="1"/>
  <c r="GO423" i="1"/>
  <c r="GP423" i="1"/>
  <c r="GV423" i="1"/>
  <c r="HC423" i="1"/>
  <c r="C424" i="1"/>
  <c r="D424" i="1"/>
  <c r="I424" i="1"/>
  <c r="I425" i="1" s="1"/>
  <c r="W424" i="1"/>
  <c r="AC424" i="1"/>
  <c r="AD424" i="1"/>
  <c r="CR424" i="1" s="1"/>
  <c r="Q424" i="1" s="1"/>
  <c r="AE424" i="1"/>
  <c r="AF424" i="1"/>
  <c r="AG424" i="1"/>
  <c r="CU424" i="1" s="1"/>
  <c r="T424" i="1" s="1"/>
  <c r="AH424" i="1"/>
  <c r="CV424" i="1" s="1"/>
  <c r="U424" i="1" s="1"/>
  <c r="AI424" i="1"/>
  <c r="AJ424" i="1"/>
  <c r="CS424" i="1"/>
  <c r="R424" i="1" s="1"/>
  <c r="CT424" i="1"/>
  <c r="S424" i="1" s="1"/>
  <c r="CW424" i="1"/>
  <c r="V424" i="1" s="1"/>
  <c r="CX424" i="1"/>
  <c r="FR424" i="1"/>
  <c r="GL424" i="1"/>
  <c r="GO424" i="1"/>
  <c r="GP424" i="1"/>
  <c r="GV424" i="1"/>
  <c r="HC424" i="1"/>
  <c r="GX424" i="1" s="1"/>
  <c r="C425" i="1"/>
  <c r="D425" i="1"/>
  <c r="T425" i="1"/>
  <c r="W425" i="1"/>
  <c r="AC425" i="1"/>
  <c r="AD425" i="1"/>
  <c r="CR425" i="1" s="1"/>
  <c r="Q425" i="1" s="1"/>
  <c r="AE425" i="1"/>
  <c r="CS425" i="1" s="1"/>
  <c r="R425" i="1" s="1"/>
  <c r="AF425" i="1"/>
  <c r="AG425" i="1"/>
  <c r="AH425" i="1"/>
  <c r="CV425" i="1" s="1"/>
  <c r="U425" i="1" s="1"/>
  <c r="AI425" i="1"/>
  <c r="CW425" i="1" s="1"/>
  <c r="V425" i="1" s="1"/>
  <c r="AJ425" i="1"/>
  <c r="CQ425" i="1"/>
  <c r="P425" i="1" s="1"/>
  <c r="CT425" i="1"/>
  <c r="S425" i="1" s="1"/>
  <c r="CU425" i="1"/>
  <c r="CX425" i="1"/>
  <c r="FR425" i="1"/>
  <c r="GL425" i="1"/>
  <c r="GO425" i="1"/>
  <c r="GP425" i="1"/>
  <c r="GV425" i="1"/>
  <c r="HC425" i="1" s="1"/>
  <c r="GX425" i="1" s="1"/>
  <c r="B427" i="1"/>
  <c r="B410" i="1" s="1"/>
  <c r="C427" i="1"/>
  <c r="C410" i="1" s="1"/>
  <c r="D427" i="1"/>
  <c r="F427" i="1"/>
  <c r="F410" i="1" s="1"/>
  <c r="G427" i="1"/>
  <c r="G410" i="1" s="1"/>
  <c r="BC427" i="1"/>
  <c r="BC410" i="1" s="1"/>
  <c r="BX427" i="1"/>
  <c r="BX410" i="1" s="1"/>
  <c r="CK427" i="1"/>
  <c r="BB427" i="1" s="1"/>
  <c r="CL427" i="1"/>
  <c r="CL410" i="1" s="1"/>
  <c r="B457" i="1"/>
  <c r="B22" i="1" s="1"/>
  <c r="C457" i="1"/>
  <c r="C22" i="1" s="1"/>
  <c r="D457" i="1"/>
  <c r="D22" i="1" s="1"/>
  <c r="F457" i="1"/>
  <c r="F22" i="1" s="1"/>
  <c r="G457" i="1"/>
  <c r="G22" i="1" s="1"/>
  <c r="B493" i="1"/>
  <c r="B18" i="1" s="1"/>
  <c r="C493" i="1"/>
  <c r="C18" i="1" s="1"/>
  <c r="D493" i="1"/>
  <c r="D18" i="1" s="1"/>
  <c r="F493" i="1"/>
  <c r="F18" i="1" s="1"/>
  <c r="G493" i="1"/>
  <c r="G18" i="1" s="1"/>
  <c r="X506" i="5" l="1"/>
  <c r="I507" i="5"/>
  <c r="K507" i="5"/>
  <c r="Z506" i="5"/>
  <c r="W506" i="5"/>
  <c r="I506" i="5"/>
  <c r="CY416" i="1"/>
  <c r="X416" i="1" s="1"/>
  <c r="V506" i="5"/>
  <c r="H506" i="5"/>
  <c r="K506" i="5"/>
  <c r="Y506" i="5"/>
  <c r="K495" i="5"/>
  <c r="Y495" i="5"/>
  <c r="Z495" i="5"/>
  <c r="K496" i="5"/>
  <c r="X495" i="5"/>
  <c r="I496" i="5"/>
  <c r="CY415" i="1"/>
  <c r="X415" i="1" s="1"/>
  <c r="V495" i="5"/>
  <c r="H495" i="5"/>
  <c r="CZ415" i="1"/>
  <c r="Y415" i="1" s="1"/>
  <c r="I495" i="5"/>
  <c r="W495" i="5"/>
  <c r="BZ427" i="1"/>
  <c r="BZ410" i="1" s="1"/>
  <c r="I485" i="5"/>
  <c r="X484" i="5"/>
  <c r="CD427" i="1"/>
  <c r="CD410" i="1" s="1"/>
  <c r="V484" i="5"/>
  <c r="H484" i="5"/>
  <c r="CY424" i="1"/>
  <c r="X424" i="1" s="1"/>
  <c r="CZ424" i="1"/>
  <c r="Y424" i="1" s="1"/>
  <c r="F440" i="1"/>
  <c r="BB410" i="1"/>
  <c r="CZ412" i="1"/>
  <c r="Y412" i="1" s="1"/>
  <c r="CY412" i="1"/>
  <c r="X412" i="1" s="1"/>
  <c r="CP425" i="1"/>
  <c r="O425" i="1" s="1"/>
  <c r="CZ425" i="1"/>
  <c r="Y425" i="1" s="1"/>
  <c r="CY425" i="1"/>
  <c r="X425" i="1" s="1"/>
  <c r="BY410" i="1"/>
  <c r="CZ337" i="1"/>
  <c r="Y337" i="1" s="1"/>
  <c r="CY337" i="1"/>
  <c r="X337" i="1" s="1"/>
  <c r="BD295" i="1"/>
  <c r="F327" i="1"/>
  <c r="CC251" i="1"/>
  <c r="AT263" i="1"/>
  <c r="BY251" i="1"/>
  <c r="CI263" i="1"/>
  <c r="AP263" i="1"/>
  <c r="CK204" i="1"/>
  <c r="BB219" i="1"/>
  <c r="CY169" i="1"/>
  <c r="X169" i="1" s="1"/>
  <c r="CZ169" i="1"/>
  <c r="Y169" i="1" s="1"/>
  <c r="F443" i="1"/>
  <c r="AP427" i="1"/>
  <c r="AB425" i="1"/>
  <c r="CS423" i="1"/>
  <c r="S422" i="1"/>
  <c r="AB420" i="1"/>
  <c r="AB418" i="1"/>
  <c r="CR418" i="1"/>
  <c r="Q418" i="1" s="1"/>
  <c r="CP418" i="1" s="1"/>
  <c r="O418" i="1" s="1"/>
  <c r="CY417" i="1"/>
  <c r="X417" i="1" s="1"/>
  <c r="CZ417" i="1"/>
  <c r="Y417" i="1" s="1"/>
  <c r="CP416" i="1"/>
  <c r="O416" i="1" s="1"/>
  <c r="BD334" i="1"/>
  <c r="F366" i="1"/>
  <c r="AB339" i="1"/>
  <c r="CR339" i="1"/>
  <c r="BY334" i="1"/>
  <c r="AP341" i="1"/>
  <c r="CI341" i="1"/>
  <c r="Q298" i="1"/>
  <c r="CG302" i="1"/>
  <c r="AQ302" i="1"/>
  <c r="BZ295" i="1"/>
  <c r="CX141" i="3"/>
  <c r="CX145" i="3"/>
  <c r="CX144" i="3"/>
  <c r="CX148" i="3"/>
  <c r="CX143" i="3"/>
  <c r="CX147" i="3"/>
  <c r="CX142" i="3"/>
  <c r="CX146" i="3"/>
  <c r="I256" i="1"/>
  <c r="U255" i="1"/>
  <c r="CX166" i="3"/>
  <c r="I299" i="1"/>
  <c r="P299" i="1" s="1"/>
  <c r="CP299" i="1" s="1"/>
  <c r="O299" i="1" s="1"/>
  <c r="T297" i="1"/>
  <c r="W256" i="1"/>
  <c r="CY420" i="1"/>
  <c r="X420" i="1" s="1"/>
  <c r="BY295" i="1"/>
  <c r="AP302" i="1"/>
  <c r="CI302" i="1"/>
  <c r="BC251" i="1"/>
  <c r="F279" i="1"/>
  <c r="CP253" i="1"/>
  <c r="O253" i="1" s="1"/>
  <c r="P297" i="1"/>
  <c r="CX189" i="3"/>
  <c r="CX188" i="3"/>
  <c r="CX187" i="3"/>
  <c r="CX191" i="3"/>
  <c r="CX190" i="3"/>
  <c r="CX186" i="3"/>
  <c r="T412" i="1"/>
  <c r="I413" i="1"/>
  <c r="P413" i="1" s="1"/>
  <c r="U490" i="5" s="1"/>
  <c r="CD334" i="1"/>
  <c r="AU341" i="1"/>
  <c r="CD295" i="1"/>
  <c r="AU302" i="1"/>
  <c r="S299" i="1"/>
  <c r="S298" i="1"/>
  <c r="S297" i="1"/>
  <c r="AB255" i="1"/>
  <c r="CR255" i="1"/>
  <c r="Q255" i="1" s="1"/>
  <c r="GN254" i="1"/>
  <c r="AT427" i="1"/>
  <c r="CQ424" i="1"/>
  <c r="P424" i="1" s="1"/>
  <c r="CP424" i="1" s="1"/>
  <c r="O424" i="1" s="1"/>
  <c r="AB424" i="1"/>
  <c r="CX237" i="3"/>
  <c r="CX241" i="3"/>
  <c r="CX240" i="3"/>
  <c r="CX244" i="3"/>
  <c r="CX239" i="3"/>
  <c r="CX243" i="3"/>
  <c r="CX242" i="3"/>
  <c r="CX238" i="3"/>
  <c r="GX422" i="1"/>
  <c r="V422" i="1"/>
  <c r="P422" i="1"/>
  <c r="CP420" i="1"/>
  <c r="O420" i="1" s="1"/>
  <c r="AB419" i="1"/>
  <c r="CQ419" i="1"/>
  <c r="CP415" i="1"/>
  <c r="O415" i="1" s="1"/>
  <c r="GX412" i="1"/>
  <c r="V412" i="1"/>
  <c r="P412" i="1"/>
  <c r="U484" i="5" s="1"/>
  <c r="CL334" i="1"/>
  <c r="BC341" i="1"/>
  <c r="CS338" i="1"/>
  <c r="AD338" i="1"/>
  <c r="CR338" i="1" s="1"/>
  <c r="AB337" i="1"/>
  <c r="CQ337" i="1"/>
  <c r="P337" i="1" s="1"/>
  <c r="CP337" i="1" s="1"/>
  <c r="O337" i="1" s="1"/>
  <c r="R299" i="1"/>
  <c r="W298" i="1"/>
  <c r="R298" i="1"/>
  <c r="V298" i="1"/>
  <c r="R297" i="1"/>
  <c r="CK251" i="1"/>
  <c r="BB263" i="1"/>
  <c r="AU263" i="1"/>
  <c r="BZ251" i="1"/>
  <c r="AQ263" i="1"/>
  <c r="CG263" i="1"/>
  <c r="GX256" i="1"/>
  <c r="Q256" i="1"/>
  <c r="CS255" i="1"/>
  <c r="R255" i="1" s="1"/>
  <c r="GM254" i="1"/>
  <c r="CS253" i="1"/>
  <c r="R253" i="1" s="1"/>
  <c r="AT204" i="1"/>
  <c r="F237" i="1"/>
  <c r="U422" i="1"/>
  <c r="AB421" i="1"/>
  <c r="GX299" i="1"/>
  <c r="V299" i="1"/>
  <c r="U299" i="1"/>
  <c r="Q299" i="1"/>
  <c r="V297" i="1"/>
  <c r="U297" i="1"/>
  <c r="Q297" i="1"/>
  <c r="BC295" i="1"/>
  <c r="AB261" i="1"/>
  <c r="CY259" i="1"/>
  <c r="X259" i="1" s="1"/>
  <c r="GM259" i="1" s="1"/>
  <c r="CR210" i="1"/>
  <c r="Q210" i="1" s="1"/>
  <c r="AB210" i="1"/>
  <c r="CZ416" i="1"/>
  <c r="Y416" i="1" s="1"/>
  <c r="AB416" i="1"/>
  <c r="T413" i="1"/>
  <c r="U412" i="1"/>
  <c r="Q412" i="1"/>
  <c r="CC334" i="1"/>
  <c r="AT341" i="1"/>
  <c r="CP336" i="1"/>
  <c r="O336" i="1" s="1"/>
  <c r="GX297" i="1"/>
  <c r="AO427" i="1"/>
  <c r="AB423" i="1"/>
  <c r="CX209" i="3"/>
  <c r="CX208" i="3"/>
  <c r="CX212" i="3"/>
  <c r="CX207" i="3"/>
  <c r="CX211" i="3"/>
  <c r="CX210" i="3"/>
  <c r="CQ414" i="1"/>
  <c r="AB413" i="1"/>
  <c r="AQ341" i="1"/>
  <c r="AB338" i="1"/>
  <c r="W336" i="1"/>
  <c r="AD336" i="1"/>
  <c r="CR336" i="1" s="1"/>
  <c r="Q336" i="1" s="1"/>
  <c r="BX334" i="1"/>
  <c r="AB299" i="1"/>
  <c r="CC295" i="1"/>
  <c r="AT302" i="1"/>
  <c r="T298" i="1"/>
  <c r="AB298" i="1"/>
  <c r="AB297" i="1"/>
  <c r="W260" i="1"/>
  <c r="AD260" i="1"/>
  <c r="CR260" i="1" s="1"/>
  <c r="CZ259" i="1"/>
  <c r="Y259" i="1" s="1"/>
  <c r="CX157" i="3"/>
  <c r="CX161" i="3"/>
  <c r="CX156" i="3"/>
  <c r="CX160" i="3"/>
  <c r="CX164" i="3"/>
  <c r="CX159" i="3"/>
  <c r="CX163" i="3"/>
  <c r="CX158" i="3"/>
  <c r="CX162" i="3"/>
  <c r="CX165" i="3"/>
  <c r="I260" i="1"/>
  <c r="I261" i="1"/>
  <c r="Q261" i="1" s="1"/>
  <c r="T257" i="1"/>
  <c r="W257" i="1"/>
  <c r="S257" i="1"/>
  <c r="P255" i="1"/>
  <c r="BZ219" i="1"/>
  <c r="BY219" i="1"/>
  <c r="CX229" i="3"/>
  <c r="CX233" i="3"/>
  <c r="CX232" i="3"/>
  <c r="CX236" i="3"/>
  <c r="CX231" i="3"/>
  <c r="CX235" i="3"/>
  <c r="CX230" i="3"/>
  <c r="CX234" i="3"/>
  <c r="Q422" i="1"/>
  <c r="CX221" i="3"/>
  <c r="CX225" i="3"/>
  <c r="CX224" i="3"/>
  <c r="CX228" i="3"/>
  <c r="CX223" i="3"/>
  <c r="CX227" i="3"/>
  <c r="CX226" i="3"/>
  <c r="CX222" i="3"/>
  <c r="I421" i="1"/>
  <c r="Q421" i="1" s="1"/>
  <c r="CX213" i="3"/>
  <c r="CX217" i="3"/>
  <c r="CX216" i="3"/>
  <c r="CX220" i="3"/>
  <c r="CX215" i="3"/>
  <c r="CX219" i="3"/>
  <c r="CX214" i="3"/>
  <c r="CX218" i="3"/>
  <c r="I419" i="1"/>
  <c r="S419" i="1" s="1"/>
  <c r="AB415" i="1"/>
  <c r="P298" i="1"/>
  <c r="CP298" i="1" s="1"/>
  <c r="O298" i="1" s="1"/>
  <c r="I423" i="1"/>
  <c r="W423" i="1" s="1"/>
  <c r="AB422" i="1"/>
  <c r="V421" i="1"/>
  <c r="R421" i="1"/>
  <c r="W418" i="1"/>
  <c r="S418" i="1"/>
  <c r="P417" i="1"/>
  <c r="CP417" i="1" s="1"/>
  <c r="O417" i="1" s="1"/>
  <c r="AB412" i="1"/>
  <c r="CG334" i="1"/>
  <c r="AX341" i="1"/>
  <c r="AO341" i="1"/>
  <c r="CX176" i="3"/>
  <c r="I338" i="1"/>
  <c r="U338" i="1" s="1"/>
  <c r="AB336" i="1"/>
  <c r="GX298" i="1"/>
  <c r="U298" i="1"/>
  <c r="R261" i="1"/>
  <c r="AB260" i="1"/>
  <c r="CX149" i="3"/>
  <c r="CX153" i="3"/>
  <c r="CX152" i="3"/>
  <c r="CX151" i="3"/>
  <c r="CX155" i="3"/>
  <c r="CX150" i="3"/>
  <c r="CX154" i="3"/>
  <c r="I258" i="1"/>
  <c r="V258" i="1" s="1"/>
  <c r="S256" i="1"/>
  <c r="V256" i="1"/>
  <c r="R256" i="1"/>
  <c r="T255" i="1"/>
  <c r="W255" i="1"/>
  <c r="S255" i="1"/>
  <c r="CY253" i="1"/>
  <c r="X253" i="1" s="1"/>
  <c r="T210" i="1"/>
  <c r="V210" i="1"/>
  <c r="CS209" i="1"/>
  <c r="R209" i="1" s="1"/>
  <c r="CY209" i="1" s="1"/>
  <c r="X209" i="1" s="1"/>
  <c r="AD209" i="1"/>
  <c r="CR209" i="1" s="1"/>
  <c r="Q209" i="1" s="1"/>
  <c r="BB302" i="1"/>
  <c r="AO263" i="1"/>
  <c r="AB253" i="1"/>
  <c r="AB217" i="1"/>
  <c r="V216" i="1"/>
  <c r="CZ214" i="1"/>
  <c r="Y214" i="1" s="1"/>
  <c r="CY214" i="1"/>
  <c r="X214" i="1" s="1"/>
  <c r="GN214" i="1" s="1"/>
  <c r="AB214" i="1"/>
  <c r="P210" i="1"/>
  <c r="CZ209" i="1"/>
  <c r="Y209" i="1" s="1"/>
  <c r="CD219" i="1"/>
  <c r="CS207" i="1"/>
  <c r="AD207" i="1"/>
  <c r="CR207" i="1" s="1"/>
  <c r="CX110" i="3"/>
  <c r="I216" i="1"/>
  <c r="CX193" i="3"/>
  <c r="CX197" i="3"/>
  <c r="CX201" i="3"/>
  <c r="CX205" i="3"/>
  <c r="CX192" i="3"/>
  <c r="CX196" i="3"/>
  <c r="CX200" i="3"/>
  <c r="CX204" i="3"/>
  <c r="CX195" i="3"/>
  <c r="CX199" i="3"/>
  <c r="CX203" i="3"/>
  <c r="CX198" i="3"/>
  <c r="CX194" i="3"/>
  <c r="CX206" i="3"/>
  <c r="CX202" i="3"/>
  <c r="BB341" i="1"/>
  <c r="AO302" i="1"/>
  <c r="BD263" i="1"/>
  <c r="T216" i="1"/>
  <c r="U206" i="1"/>
  <c r="CR206" i="1"/>
  <c r="Q206" i="1" s="1"/>
  <c r="AB206" i="1"/>
  <c r="BC219" i="1"/>
  <c r="U216" i="1"/>
  <c r="Q216" i="1"/>
  <c r="CS215" i="1"/>
  <c r="R215" i="1" s="1"/>
  <c r="CZ215" i="1" s="1"/>
  <c r="Y215" i="1" s="1"/>
  <c r="AD215" i="1"/>
  <c r="CR215" i="1" s="1"/>
  <c r="Q215" i="1" s="1"/>
  <c r="AD211" i="1"/>
  <c r="CR211" i="1" s="1"/>
  <c r="Q211" i="1" s="1"/>
  <c r="CS211" i="1"/>
  <c r="R211" i="1" s="1"/>
  <c r="CZ211" i="1" s="1"/>
  <c r="Y211" i="1" s="1"/>
  <c r="AB209" i="1"/>
  <c r="CQ209" i="1"/>
  <c r="P209" i="1" s="1"/>
  <c r="CP209" i="1" s="1"/>
  <c r="O209" i="1" s="1"/>
  <c r="AB207" i="1"/>
  <c r="CQ207" i="1"/>
  <c r="CY167" i="1"/>
  <c r="X167" i="1" s="1"/>
  <c r="CZ167" i="1"/>
  <c r="Y167" i="1" s="1"/>
  <c r="CZ166" i="1"/>
  <c r="Y166" i="1" s="1"/>
  <c r="CY166" i="1"/>
  <c r="X166" i="1" s="1"/>
  <c r="CC161" i="1"/>
  <c r="AT172" i="1"/>
  <c r="AB215" i="1"/>
  <c r="CQ215" i="1"/>
  <c r="P215" i="1" s="1"/>
  <c r="CP215" i="1" s="1"/>
  <c r="O215" i="1" s="1"/>
  <c r="CS213" i="1"/>
  <c r="R213" i="1" s="1"/>
  <c r="CY213" i="1" s="1"/>
  <c r="X213" i="1" s="1"/>
  <c r="AD213" i="1"/>
  <c r="CR213" i="1" s="1"/>
  <c r="Q213" i="1" s="1"/>
  <c r="CQ211" i="1"/>
  <c r="P211" i="1" s="1"/>
  <c r="CP211" i="1" s="1"/>
  <c r="O211" i="1" s="1"/>
  <c r="CY211" i="1"/>
  <c r="X211" i="1" s="1"/>
  <c r="GX210" i="1"/>
  <c r="W210" i="1"/>
  <c r="S210" i="1"/>
  <c r="GX206" i="1"/>
  <c r="W206" i="1"/>
  <c r="S206" i="1"/>
  <c r="CP170" i="1"/>
  <c r="O170" i="1" s="1"/>
  <c r="CX133" i="3"/>
  <c r="CX137" i="3"/>
  <c r="CX132" i="3"/>
  <c r="CX136" i="3"/>
  <c r="CX140" i="3"/>
  <c r="CX135" i="3"/>
  <c r="CX139" i="3"/>
  <c r="CX134" i="3"/>
  <c r="CX138" i="3"/>
  <c r="AO219" i="1"/>
  <c r="W216" i="1"/>
  <c r="S216" i="1"/>
  <c r="AB216" i="1"/>
  <c r="AB213" i="1"/>
  <c r="CQ213" i="1"/>
  <c r="P213" i="1" s="1"/>
  <c r="CP213" i="1" s="1"/>
  <c r="O213" i="1" s="1"/>
  <c r="CZ212" i="1"/>
  <c r="Y212" i="1" s="1"/>
  <c r="GN212" i="1" s="1"/>
  <c r="AB212" i="1"/>
  <c r="AB208" i="1"/>
  <c r="CP167" i="1"/>
  <c r="O167" i="1" s="1"/>
  <c r="CP166" i="1"/>
  <c r="O166" i="1" s="1"/>
  <c r="BY161" i="1"/>
  <c r="CI172" i="1"/>
  <c r="AP172" i="1"/>
  <c r="CG172" i="1"/>
  <c r="BB172" i="1"/>
  <c r="AB170" i="1"/>
  <c r="GX169" i="1"/>
  <c r="U169" i="1"/>
  <c r="T169" i="1"/>
  <c r="P169" i="1"/>
  <c r="CP169" i="1" s="1"/>
  <c r="O169" i="1" s="1"/>
  <c r="CQ168" i="1"/>
  <c r="P168" i="1" s="1"/>
  <c r="CP168" i="1" s="1"/>
  <c r="O168" i="1" s="1"/>
  <c r="GX163" i="1"/>
  <c r="U163" i="1"/>
  <c r="AO172" i="1"/>
  <c r="BZ161" i="1"/>
  <c r="BY111" i="1"/>
  <c r="AP129" i="1"/>
  <c r="CX121" i="3"/>
  <c r="CX125" i="3"/>
  <c r="CX129" i="3"/>
  <c r="CX120" i="3"/>
  <c r="CX124" i="3"/>
  <c r="CX128" i="3"/>
  <c r="CX123" i="3"/>
  <c r="CX127" i="3"/>
  <c r="CX122" i="3"/>
  <c r="CX126" i="3"/>
  <c r="CX130" i="3"/>
  <c r="I207" i="1"/>
  <c r="T207" i="1" s="1"/>
  <c r="S170" i="1"/>
  <c r="V170" i="1"/>
  <c r="R170" i="1"/>
  <c r="CY168" i="1"/>
  <c r="X168" i="1" s="1"/>
  <c r="AB167" i="1"/>
  <c r="AB166" i="1"/>
  <c r="CQ164" i="1"/>
  <c r="P163" i="1"/>
  <c r="AO129" i="1"/>
  <c r="BZ129" i="1"/>
  <c r="CI129" i="1" s="1"/>
  <c r="CD129" i="1"/>
  <c r="BC172" i="1"/>
  <c r="AU172" i="1"/>
  <c r="AB165" i="1"/>
  <c r="T163" i="1"/>
  <c r="AB163" i="1"/>
  <c r="R163" i="1"/>
  <c r="BB129" i="1"/>
  <c r="AT129" i="1"/>
  <c r="W124" i="1"/>
  <c r="U124" i="1"/>
  <c r="CQ121" i="1"/>
  <c r="AB121" i="1"/>
  <c r="CQ117" i="1"/>
  <c r="P117" i="1" s="1"/>
  <c r="CD30" i="1"/>
  <c r="AU45" i="1"/>
  <c r="CY35" i="1"/>
  <c r="X35" i="1" s="1"/>
  <c r="CZ35" i="1"/>
  <c r="Y35" i="1" s="1"/>
  <c r="AB127" i="1"/>
  <c r="AD125" i="1"/>
  <c r="CR125" i="1" s="1"/>
  <c r="AD123" i="1"/>
  <c r="CR123" i="1" s="1"/>
  <c r="CX73" i="3"/>
  <c r="CX77" i="3"/>
  <c r="CX81" i="3"/>
  <c r="CX72" i="3"/>
  <c r="CX76" i="3"/>
  <c r="CX80" i="3"/>
  <c r="CX84" i="3"/>
  <c r="CX71" i="3"/>
  <c r="CX75" i="3"/>
  <c r="CX79" i="3"/>
  <c r="CX83" i="3"/>
  <c r="CX74" i="3"/>
  <c r="CX78" i="3"/>
  <c r="CX82" i="3"/>
  <c r="I119" i="1"/>
  <c r="T119" i="1" s="1"/>
  <c r="I121" i="1"/>
  <c r="T121" i="1"/>
  <c r="AB120" i="1"/>
  <c r="CS119" i="1"/>
  <c r="R119" i="1" s="1"/>
  <c r="AD119" i="1"/>
  <c r="CR119" i="1" s="1"/>
  <c r="U118" i="1"/>
  <c r="I118" i="1"/>
  <c r="GX118" i="1" s="1"/>
  <c r="W116" i="1"/>
  <c r="S116" i="1"/>
  <c r="AB116" i="1"/>
  <c r="BD77" i="1"/>
  <c r="F104" i="1"/>
  <c r="AV77" i="1"/>
  <c r="F84" i="1"/>
  <c r="Y77" i="1"/>
  <c r="F106" i="1"/>
  <c r="F101" i="1"/>
  <c r="U77" i="1"/>
  <c r="Q77" i="1"/>
  <c r="F91" i="1"/>
  <c r="CX101" i="3"/>
  <c r="CX105" i="3"/>
  <c r="CX100" i="3"/>
  <c r="CX104" i="3"/>
  <c r="CX108" i="3"/>
  <c r="CX103" i="3"/>
  <c r="CX107" i="3"/>
  <c r="CX102" i="3"/>
  <c r="CX106" i="3"/>
  <c r="I164" i="1"/>
  <c r="BD129" i="1"/>
  <c r="I124" i="1"/>
  <c r="P124" i="1" s="1"/>
  <c r="I123" i="1"/>
  <c r="W123" i="1" s="1"/>
  <c r="AB119" i="1"/>
  <c r="CQ119" i="1"/>
  <c r="P119" i="1" s="1"/>
  <c r="GX116" i="1"/>
  <c r="CS115" i="1"/>
  <c r="R115" i="1" s="1"/>
  <c r="CY115" i="1" s="1"/>
  <c r="X115" i="1" s="1"/>
  <c r="AD115" i="1"/>
  <c r="CR115" i="1" s="1"/>
  <c r="Q115" i="1" s="1"/>
  <c r="GN114" i="1"/>
  <c r="CQ113" i="1"/>
  <c r="P113" i="1" s="1"/>
  <c r="AB42" i="1"/>
  <c r="CR42" i="1"/>
  <c r="Q42" i="1" s="1"/>
  <c r="CP42" i="1" s="1"/>
  <c r="O42" i="1" s="1"/>
  <c r="BC129" i="1"/>
  <c r="I125" i="1"/>
  <c r="W125" i="1" s="1"/>
  <c r="W122" i="1"/>
  <c r="S122" i="1"/>
  <c r="AB122" i="1"/>
  <c r="V121" i="1"/>
  <c r="AD121" i="1"/>
  <c r="CR121" i="1" s="1"/>
  <c r="Q121" i="1" s="1"/>
  <c r="CS121" i="1"/>
  <c r="R121" i="1" s="1"/>
  <c r="W118" i="1"/>
  <c r="AB118" i="1"/>
  <c r="AD117" i="1"/>
  <c r="CR117" i="1" s="1"/>
  <c r="Q117" i="1" s="1"/>
  <c r="CS117" i="1"/>
  <c r="R117" i="1" s="1"/>
  <c r="CZ117" i="1" s="1"/>
  <c r="Y117" i="1" s="1"/>
  <c r="U116" i="1"/>
  <c r="Q116" i="1"/>
  <c r="CP116" i="1" s="1"/>
  <c r="O116" i="1" s="1"/>
  <c r="CZ115" i="1"/>
  <c r="Y115" i="1" s="1"/>
  <c r="AZ77" i="1"/>
  <c r="CX41" i="3"/>
  <c r="CX45" i="3"/>
  <c r="CX40" i="3"/>
  <c r="CX44" i="3"/>
  <c r="CX43" i="3"/>
  <c r="CX47" i="3"/>
  <c r="CX42" i="3"/>
  <c r="CX46" i="3"/>
  <c r="CZ114" i="1"/>
  <c r="Y114" i="1" s="1"/>
  <c r="GM114" i="1" s="1"/>
  <c r="AB114" i="1"/>
  <c r="F88" i="1"/>
  <c r="AX77" i="1"/>
  <c r="GX43" i="1"/>
  <c r="CJ45" i="1" s="1"/>
  <c r="U43" i="1"/>
  <c r="AH45" i="1" s="1"/>
  <c r="Q43" i="1"/>
  <c r="CC45" i="1"/>
  <c r="AI45" i="1"/>
  <c r="AG45" i="1"/>
  <c r="W77" i="1"/>
  <c r="F103" i="1"/>
  <c r="O77" i="1"/>
  <c r="F81" i="1"/>
  <c r="CZ42" i="1"/>
  <c r="Y42" i="1" s="1"/>
  <c r="CZ40" i="1"/>
  <c r="Y40" i="1" s="1"/>
  <c r="CY40" i="1"/>
  <c r="X40" i="1" s="1"/>
  <c r="BZ30" i="1"/>
  <c r="CG45" i="1"/>
  <c r="AQ45" i="1"/>
  <c r="CZ37" i="1"/>
  <c r="Y37" i="1" s="1"/>
  <c r="CY37" i="1"/>
  <c r="X37" i="1" s="1"/>
  <c r="CP36" i="1"/>
  <c r="O36" i="1" s="1"/>
  <c r="CP34" i="1"/>
  <c r="O34" i="1" s="1"/>
  <c r="CP33" i="1"/>
  <c r="O33" i="1" s="1"/>
  <c r="AC45" i="1"/>
  <c r="AB115" i="1"/>
  <c r="CQ115" i="1"/>
  <c r="P115" i="1" s="1"/>
  <c r="CP115" i="1" s="1"/>
  <c r="O115" i="1" s="1"/>
  <c r="CS113" i="1"/>
  <c r="R113" i="1" s="1"/>
  <c r="CY113" i="1" s="1"/>
  <c r="X113" i="1" s="1"/>
  <c r="AD113" i="1"/>
  <c r="CR113" i="1" s="1"/>
  <c r="Q113" i="1" s="1"/>
  <c r="AT77" i="1"/>
  <c r="W43" i="1"/>
  <c r="AJ45" i="1" s="1"/>
  <c r="S43" i="1"/>
  <c r="AB43" i="1"/>
  <c r="BY45" i="1"/>
  <c r="CY36" i="1"/>
  <c r="X36" i="1" s="1"/>
  <c r="CZ36" i="1"/>
  <c r="Y36" i="1" s="1"/>
  <c r="CP35" i="1"/>
  <c r="O35" i="1" s="1"/>
  <c r="AF45" i="1"/>
  <c r="CY34" i="1"/>
  <c r="X34" i="1" s="1"/>
  <c r="CZ34" i="1"/>
  <c r="Y34" i="1" s="1"/>
  <c r="AO45" i="1"/>
  <c r="CT41" i="1"/>
  <c r="S41" i="1" s="1"/>
  <c r="CP41" i="1" s="1"/>
  <c r="O41" i="1" s="1"/>
  <c r="CQ40" i="1"/>
  <c r="P40" i="1" s="1"/>
  <c r="AD40" i="1"/>
  <c r="CR40" i="1" s="1"/>
  <c r="Q40" i="1" s="1"/>
  <c r="CT39" i="1"/>
  <c r="S39" i="1" s="1"/>
  <c r="CT38" i="1"/>
  <c r="S38" i="1" s="1"/>
  <c r="CQ37" i="1"/>
  <c r="P37" i="1" s="1"/>
  <c r="AD37" i="1"/>
  <c r="CR37" i="1" s="1"/>
  <c r="Q37" i="1" s="1"/>
  <c r="CR34" i="1"/>
  <c r="Q34" i="1" s="1"/>
  <c r="CS33" i="1"/>
  <c r="R33" i="1" s="1"/>
  <c r="CY33" i="1" s="1"/>
  <c r="X33" i="1" s="1"/>
  <c r="AB33" i="1"/>
  <c r="AB32" i="1"/>
  <c r="CX13" i="3"/>
  <c r="CX17" i="3"/>
  <c r="CX12" i="3"/>
  <c r="CX16" i="3"/>
  <c r="CX15" i="3"/>
  <c r="CX14" i="3"/>
  <c r="CX18" i="3"/>
  <c r="AB36" i="1"/>
  <c r="CX5" i="3"/>
  <c r="CX4" i="3"/>
  <c r="CX6" i="3"/>
  <c r="AB35" i="1"/>
  <c r="CX33" i="3"/>
  <c r="CX37" i="3"/>
  <c r="CX32" i="3"/>
  <c r="CX36" i="3"/>
  <c r="CX31" i="3"/>
  <c r="CX35" i="3"/>
  <c r="CX39" i="3"/>
  <c r="CX34" i="3"/>
  <c r="CX38" i="3"/>
  <c r="CX25" i="3"/>
  <c r="CX29" i="3"/>
  <c r="CX24" i="3"/>
  <c r="CX28" i="3"/>
  <c r="CX23" i="3"/>
  <c r="CX27" i="3"/>
  <c r="CX26" i="3"/>
  <c r="CX30" i="3"/>
  <c r="BC45" i="1"/>
  <c r="CX21" i="3"/>
  <c r="CX20" i="3"/>
  <c r="CX19" i="3"/>
  <c r="CX22" i="3"/>
  <c r="CX9" i="3"/>
  <c r="CX8" i="3"/>
  <c r="CX7" i="3"/>
  <c r="CX11" i="3"/>
  <c r="CX10" i="3"/>
  <c r="CZ32" i="1"/>
  <c r="Y32" i="1" s="1"/>
  <c r="BB45" i="1"/>
  <c r="CP32" i="1"/>
  <c r="O32" i="1" s="1"/>
  <c r="CX1" i="3"/>
  <c r="CX2" i="3"/>
  <c r="G514" i="5" l="1"/>
  <c r="AB506" i="5"/>
  <c r="CG427" i="1"/>
  <c r="G513" i="5"/>
  <c r="AA506" i="5"/>
  <c r="AQ427" i="1"/>
  <c r="T506" i="5"/>
  <c r="G506" i="5"/>
  <c r="G515" i="5"/>
  <c r="CI427" i="1"/>
  <c r="G503" i="5"/>
  <c r="AA495" i="5"/>
  <c r="G504" i="5"/>
  <c r="AB495" i="5"/>
  <c r="G505" i="5"/>
  <c r="T495" i="5"/>
  <c r="G495" i="5"/>
  <c r="K485" i="5"/>
  <c r="Z484" i="5"/>
  <c r="AA484" i="5"/>
  <c r="G487" i="5"/>
  <c r="K484" i="5"/>
  <c r="Y484" i="5"/>
  <c r="G488" i="5"/>
  <c r="AB484" i="5"/>
  <c r="V413" i="1"/>
  <c r="D85" i="6"/>
  <c r="D490" i="5"/>
  <c r="C492" i="5"/>
  <c r="AU427" i="1"/>
  <c r="W484" i="5"/>
  <c r="I484" i="5"/>
  <c r="CJ30" i="1"/>
  <c r="BA45" i="1"/>
  <c r="AJ30" i="1"/>
  <c r="W45" i="1"/>
  <c r="GN42" i="1"/>
  <c r="GM42" i="1"/>
  <c r="HD42" i="1" s="1"/>
  <c r="AH30" i="1"/>
  <c r="U45" i="1"/>
  <c r="CI111" i="1"/>
  <c r="AZ129" i="1"/>
  <c r="GN32" i="1"/>
  <c r="GM32" i="1"/>
  <c r="CY38" i="1"/>
  <c r="X38" i="1" s="1"/>
  <c r="AK45" i="1" s="1"/>
  <c r="CZ38" i="1"/>
  <c r="Y38" i="1" s="1"/>
  <c r="GM35" i="1"/>
  <c r="HD35" i="1" s="1"/>
  <c r="GN35" i="1"/>
  <c r="GM34" i="1"/>
  <c r="HD34" i="1" s="1"/>
  <c r="GN34" i="1"/>
  <c r="AQ30" i="1"/>
  <c r="F55" i="1"/>
  <c r="BB30" i="1"/>
  <c r="F58" i="1"/>
  <c r="BB371" i="1"/>
  <c r="AD45" i="1"/>
  <c r="CY39" i="1"/>
  <c r="X39" i="1" s="1"/>
  <c r="CZ39" i="1"/>
  <c r="Y39" i="1" s="1"/>
  <c r="AO30" i="1"/>
  <c r="F49" i="1"/>
  <c r="AO371" i="1"/>
  <c r="BY30" i="1"/>
  <c r="AP45" i="1"/>
  <c r="CI45" i="1"/>
  <c r="GM36" i="1"/>
  <c r="GN36" i="1"/>
  <c r="CG30" i="1"/>
  <c r="AX45" i="1"/>
  <c r="AI30" i="1"/>
  <c r="V45" i="1"/>
  <c r="CZ113" i="1"/>
  <c r="Y113" i="1" s="1"/>
  <c r="S118" i="1"/>
  <c r="BC111" i="1"/>
  <c r="F145" i="1"/>
  <c r="CP113" i="1"/>
  <c r="O113" i="1" s="1"/>
  <c r="CX93" i="3"/>
  <c r="CX97" i="3"/>
  <c r="CX92" i="3"/>
  <c r="CX96" i="3"/>
  <c r="CX91" i="3"/>
  <c r="CX95" i="3"/>
  <c r="CX99" i="3"/>
  <c r="CX94" i="3"/>
  <c r="CX98" i="3"/>
  <c r="S164" i="1"/>
  <c r="I165" i="1"/>
  <c r="Q118" i="1"/>
  <c r="V119" i="1"/>
  <c r="Q125" i="1"/>
  <c r="CP117" i="1"/>
  <c r="O117" i="1" s="1"/>
  <c r="R118" i="1"/>
  <c r="Q124" i="1"/>
  <c r="CP124" i="1" s="1"/>
  <c r="O124" i="1" s="1"/>
  <c r="AB125" i="1"/>
  <c r="BB111" i="1"/>
  <c r="F142" i="1"/>
  <c r="S119" i="1"/>
  <c r="S124" i="1"/>
  <c r="T125" i="1"/>
  <c r="U164" i="1"/>
  <c r="AB123" i="1"/>
  <c r="U125" i="1"/>
  <c r="R123" i="1"/>
  <c r="V124" i="1"/>
  <c r="GM169" i="1"/>
  <c r="HD169" i="1" s="1"/>
  <c r="GN169" i="1"/>
  <c r="CI161" i="1"/>
  <c r="AZ172" i="1"/>
  <c r="GM167" i="1"/>
  <c r="GN167" i="1"/>
  <c r="T164" i="1"/>
  <c r="CZ213" i="1"/>
  <c r="Y213" i="1" s="1"/>
  <c r="F288" i="1"/>
  <c r="BD251" i="1"/>
  <c r="W207" i="1"/>
  <c r="AO251" i="1"/>
  <c r="F267" i="1"/>
  <c r="GM214" i="1"/>
  <c r="CY255" i="1"/>
  <c r="X255" i="1" s="1"/>
  <c r="CZ255" i="1"/>
  <c r="Y255" i="1" s="1"/>
  <c r="AO334" i="1"/>
  <c r="F345" i="1"/>
  <c r="GM417" i="1"/>
  <c r="GN417" i="1"/>
  <c r="BZ204" i="1"/>
  <c r="AQ219" i="1"/>
  <c r="CG219" i="1"/>
  <c r="CP255" i="1"/>
  <c r="O255" i="1" s="1"/>
  <c r="R258" i="1"/>
  <c r="P260" i="1"/>
  <c r="GX260" i="1"/>
  <c r="Q260" i="1"/>
  <c r="AQ334" i="1"/>
  <c r="F351" i="1"/>
  <c r="T423" i="1"/>
  <c r="AT334" i="1"/>
  <c r="F359" i="1"/>
  <c r="CG251" i="1"/>
  <c r="AX263" i="1"/>
  <c r="BB251" i="1"/>
  <c r="F276" i="1"/>
  <c r="GN337" i="1"/>
  <c r="GM337" i="1"/>
  <c r="V338" i="1"/>
  <c r="GM415" i="1"/>
  <c r="GN415" i="1"/>
  <c r="T421" i="1"/>
  <c r="F445" i="1"/>
  <c r="AT410" i="1"/>
  <c r="T260" i="1"/>
  <c r="CZ299" i="1"/>
  <c r="Y299" i="1" s="1"/>
  <c r="CY299" i="1"/>
  <c r="X299" i="1" s="1"/>
  <c r="GN299" i="1" s="1"/>
  <c r="F360" i="1"/>
  <c r="AU334" i="1"/>
  <c r="V261" i="1"/>
  <c r="F311" i="1"/>
  <c r="AP295" i="1"/>
  <c r="GX261" i="1"/>
  <c r="Q413" i="1"/>
  <c r="T256" i="1"/>
  <c r="AG263" i="1" s="1"/>
  <c r="U256" i="1"/>
  <c r="AH263" i="1" s="1"/>
  <c r="W261" i="1"/>
  <c r="CG295" i="1"/>
  <c r="AX302" i="1"/>
  <c r="U413" i="1"/>
  <c r="R423" i="1"/>
  <c r="BB204" i="1"/>
  <c r="F232" i="1"/>
  <c r="CI251" i="1"/>
  <c r="AZ263" i="1"/>
  <c r="CG410" i="1"/>
  <c r="AX427" i="1"/>
  <c r="AC30" i="1"/>
  <c r="CH45" i="1"/>
  <c r="CF45" i="1"/>
  <c r="P45" i="1"/>
  <c r="CE45" i="1"/>
  <c r="CZ122" i="1"/>
  <c r="Y122" i="1" s="1"/>
  <c r="CY122" i="1"/>
  <c r="X122" i="1" s="1"/>
  <c r="AB113" i="1"/>
  <c r="CZ116" i="1"/>
  <c r="Y116" i="1" s="1"/>
  <c r="CY116" i="1"/>
  <c r="X116" i="1" s="1"/>
  <c r="AU30" i="1"/>
  <c r="F64" i="1"/>
  <c r="S125" i="1"/>
  <c r="CD111" i="1"/>
  <c r="AU129" i="1"/>
  <c r="BZ111" i="1"/>
  <c r="AQ129" i="1"/>
  <c r="AQ371" i="1" s="1"/>
  <c r="CG129" i="1"/>
  <c r="GX124" i="1"/>
  <c r="AO111" i="1"/>
  <c r="F133" i="1"/>
  <c r="P164" i="1"/>
  <c r="S123" i="1"/>
  <c r="F176" i="1"/>
  <c r="AO161" i="1"/>
  <c r="V123" i="1"/>
  <c r="P125" i="1"/>
  <c r="CP125" i="1" s="1"/>
  <c r="O125" i="1" s="1"/>
  <c r="BB161" i="1"/>
  <c r="F185" i="1"/>
  <c r="AO295" i="1"/>
  <c r="F306" i="1"/>
  <c r="Q207" i="1"/>
  <c r="CD204" i="1"/>
  <c r="AU219" i="1"/>
  <c r="CP210" i="1"/>
  <c r="O210" i="1" s="1"/>
  <c r="BB295" i="1"/>
  <c r="F315" i="1"/>
  <c r="CY256" i="1"/>
  <c r="X256" i="1" s="1"/>
  <c r="CZ256" i="1"/>
  <c r="Y256" i="1" s="1"/>
  <c r="F348" i="1"/>
  <c r="AX334" i="1"/>
  <c r="CZ418" i="1"/>
  <c r="Y418" i="1" s="1"/>
  <c r="CY418" i="1"/>
  <c r="X418" i="1" s="1"/>
  <c r="GN418" i="1" s="1"/>
  <c r="W338" i="1"/>
  <c r="W419" i="1"/>
  <c r="GX419" i="1"/>
  <c r="U419" i="1"/>
  <c r="CP206" i="1"/>
  <c r="O206" i="1" s="1"/>
  <c r="CY257" i="1"/>
  <c r="X257" i="1" s="1"/>
  <c r="CZ257" i="1"/>
  <c r="Y257" i="1" s="1"/>
  <c r="F320" i="1"/>
  <c r="AT295" i="1"/>
  <c r="R419" i="1"/>
  <c r="CY419" i="1" s="1"/>
  <c r="X419" i="1" s="1"/>
  <c r="F431" i="1"/>
  <c r="AO410" i="1"/>
  <c r="R260" i="1"/>
  <c r="AQ251" i="1"/>
  <c r="F273" i="1"/>
  <c r="T338" i="1"/>
  <c r="CP412" i="1"/>
  <c r="O412" i="1" s="1"/>
  <c r="P419" i="1"/>
  <c r="P421" i="1"/>
  <c r="Q423" i="1"/>
  <c r="P261" i="1"/>
  <c r="F321" i="1"/>
  <c r="AU295" i="1"/>
  <c r="U423" i="1"/>
  <c r="S338" i="1"/>
  <c r="Q419" i="1"/>
  <c r="U260" i="1"/>
  <c r="AZ341" i="1"/>
  <c r="CI334" i="1"/>
  <c r="T419" i="1"/>
  <c r="AZ427" i="1"/>
  <c r="CI410" i="1"/>
  <c r="GN425" i="1"/>
  <c r="GM425" i="1"/>
  <c r="AU410" i="1"/>
  <c r="F446" i="1"/>
  <c r="AQ410" i="1"/>
  <c r="F437" i="1"/>
  <c r="AF30" i="1"/>
  <c r="S45" i="1"/>
  <c r="AB37" i="1"/>
  <c r="CP37" i="1"/>
  <c r="O37" i="1" s="1"/>
  <c r="CP40" i="1"/>
  <c r="O40" i="1" s="1"/>
  <c r="CP38" i="1"/>
  <c r="O38" i="1" s="1"/>
  <c r="CY43" i="1"/>
  <c r="X43" i="1" s="1"/>
  <c r="CZ43" i="1"/>
  <c r="Y43" i="1" s="1"/>
  <c r="CP39" i="1"/>
  <c r="O39" i="1" s="1"/>
  <c r="CP43" i="1"/>
  <c r="O43" i="1" s="1"/>
  <c r="AB40" i="1"/>
  <c r="Q119" i="1"/>
  <c r="CX69" i="3"/>
  <c r="CX68" i="3"/>
  <c r="CX70" i="3"/>
  <c r="GX121" i="1"/>
  <c r="S121" i="1"/>
  <c r="Q123" i="1"/>
  <c r="CY117" i="1"/>
  <c r="X117" i="1" s="1"/>
  <c r="P121" i="1"/>
  <c r="CP121" i="1" s="1"/>
  <c r="O121" i="1" s="1"/>
  <c r="U121" i="1"/>
  <c r="R124" i="1"/>
  <c r="GX125" i="1"/>
  <c r="AU161" i="1"/>
  <c r="F191" i="1"/>
  <c r="W121" i="1"/>
  <c r="R125" i="1"/>
  <c r="CP163" i="1"/>
  <c r="O163" i="1" s="1"/>
  <c r="V164" i="1"/>
  <c r="CY170" i="1"/>
  <c r="X170" i="1" s="1"/>
  <c r="GM170" i="1" s="1"/>
  <c r="HD170" i="1" s="1"/>
  <c r="CZ170" i="1"/>
  <c r="Y170" i="1" s="1"/>
  <c r="GX123" i="1"/>
  <c r="T123" i="1"/>
  <c r="CG161" i="1"/>
  <c r="AX172" i="1"/>
  <c r="W164" i="1"/>
  <c r="GM213" i="1"/>
  <c r="GN213" i="1"/>
  <c r="CZ163" i="1"/>
  <c r="Y163" i="1" s="1"/>
  <c r="CZ206" i="1"/>
  <c r="Y206" i="1" s="1"/>
  <c r="CY206" i="1"/>
  <c r="X206" i="1" s="1"/>
  <c r="CZ210" i="1"/>
  <c r="Y210" i="1" s="1"/>
  <c r="CY210" i="1"/>
  <c r="X210" i="1" s="1"/>
  <c r="AB211" i="1"/>
  <c r="CY215" i="1"/>
  <c r="X215" i="1" s="1"/>
  <c r="AT161" i="1"/>
  <c r="F190" i="1"/>
  <c r="P207" i="1"/>
  <c r="GM209" i="1"/>
  <c r="GN209" i="1"/>
  <c r="BC204" i="1"/>
  <c r="F235" i="1"/>
  <c r="BB334" i="1"/>
  <c r="F354" i="1"/>
  <c r="I217" i="1"/>
  <c r="P216" i="1"/>
  <c r="CP216" i="1" s="1"/>
  <c r="O216" i="1" s="1"/>
  <c r="R207" i="1"/>
  <c r="GM212" i="1"/>
  <c r="Q258" i="1"/>
  <c r="AD263" i="1" s="1"/>
  <c r="GX258" i="1"/>
  <c r="CJ263" i="1" s="1"/>
  <c r="T258" i="1"/>
  <c r="W258" i="1"/>
  <c r="AJ263" i="1" s="1"/>
  <c r="CX177" i="3"/>
  <c r="CX181" i="3"/>
  <c r="CX180" i="3"/>
  <c r="CX184" i="3"/>
  <c r="CX179" i="3"/>
  <c r="CX183" i="3"/>
  <c r="CX178" i="3"/>
  <c r="CX182" i="3"/>
  <c r="P338" i="1"/>
  <c r="I339" i="1"/>
  <c r="Q339" i="1" s="1"/>
  <c r="S421" i="1"/>
  <c r="GX421" i="1"/>
  <c r="W421" i="1"/>
  <c r="BY204" i="1"/>
  <c r="AP219" i="1"/>
  <c r="CI219" i="1"/>
  <c r="S258" i="1"/>
  <c r="V419" i="1"/>
  <c r="GX216" i="1"/>
  <c r="V260" i="1"/>
  <c r="AI263" i="1" s="1"/>
  <c r="AE263" i="1"/>
  <c r="CZ253" i="1"/>
  <c r="Y253" i="1" s="1"/>
  <c r="Q338" i="1"/>
  <c r="AD341" i="1" s="1"/>
  <c r="GX338" i="1"/>
  <c r="CP422" i="1"/>
  <c r="O422" i="1" s="1"/>
  <c r="P258" i="1"/>
  <c r="CZ297" i="1"/>
  <c r="Y297" i="1" s="1"/>
  <c r="CY297" i="1"/>
  <c r="X297" i="1" s="1"/>
  <c r="GX423" i="1"/>
  <c r="GN259" i="1"/>
  <c r="CX168" i="3"/>
  <c r="CX167" i="3"/>
  <c r="CX170" i="3"/>
  <c r="CX173" i="3"/>
  <c r="CX169" i="3"/>
  <c r="CX172" i="3"/>
  <c r="CX171" i="3"/>
  <c r="CX174" i="3"/>
  <c r="I300" i="1"/>
  <c r="T299" i="1"/>
  <c r="W299" i="1"/>
  <c r="AP334" i="1"/>
  <c r="F350" i="1"/>
  <c r="AP410" i="1"/>
  <c r="F436" i="1"/>
  <c r="P256" i="1"/>
  <c r="CP256" i="1" s="1"/>
  <c r="O256" i="1" s="1"/>
  <c r="AT251" i="1"/>
  <c r="F281" i="1"/>
  <c r="F61" i="1"/>
  <c r="BC30" i="1"/>
  <c r="BC371" i="1"/>
  <c r="CZ33" i="1"/>
  <c r="Y33" i="1" s="1"/>
  <c r="GM33" i="1" s="1"/>
  <c r="AE45" i="1"/>
  <c r="CY41" i="1"/>
  <c r="X41" i="1" s="1"/>
  <c r="GM41" i="1" s="1"/>
  <c r="HD41" i="1" s="1"/>
  <c r="CZ41" i="1"/>
  <c r="Y41" i="1" s="1"/>
  <c r="GM115" i="1"/>
  <c r="GN115" i="1"/>
  <c r="AG30" i="1"/>
  <c r="T45" i="1"/>
  <c r="CC30" i="1"/>
  <c r="AT45" i="1"/>
  <c r="CX85" i="3"/>
  <c r="CX89" i="3"/>
  <c r="CX88" i="3"/>
  <c r="CX87" i="3"/>
  <c r="CX86" i="3"/>
  <c r="I126" i="1"/>
  <c r="I127" i="1"/>
  <c r="CP119" i="1"/>
  <c r="O119" i="1" s="1"/>
  <c r="F154" i="1"/>
  <c r="BD111" i="1"/>
  <c r="CX49" i="3"/>
  <c r="CX48" i="3"/>
  <c r="CX50" i="3"/>
  <c r="V118" i="1"/>
  <c r="P118" i="1"/>
  <c r="CP118" i="1" s="1"/>
  <c r="O118" i="1" s="1"/>
  <c r="CX53" i="3"/>
  <c r="CX57" i="3"/>
  <c r="CX61" i="3"/>
  <c r="CX52" i="3"/>
  <c r="CX56" i="3"/>
  <c r="CX60" i="3"/>
  <c r="CX64" i="3"/>
  <c r="CX51" i="3"/>
  <c r="CX55" i="3"/>
  <c r="CX59" i="3"/>
  <c r="CX63" i="3"/>
  <c r="CX54" i="3"/>
  <c r="CX58" i="3"/>
  <c r="CX62" i="3"/>
  <c r="GX119" i="1"/>
  <c r="I120" i="1"/>
  <c r="W119" i="1"/>
  <c r="P123" i="1"/>
  <c r="CP123" i="1" s="1"/>
  <c r="O123" i="1" s="1"/>
  <c r="AB117" i="1"/>
  <c r="CP122" i="1"/>
  <c r="O122" i="1" s="1"/>
  <c r="U123" i="1"/>
  <c r="AT111" i="1"/>
  <c r="F147" i="1"/>
  <c r="BC161" i="1"/>
  <c r="F188" i="1"/>
  <c r="T118" i="1"/>
  <c r="V125" i="1"/>
  <c r="Q164" i="1"/>
  <c r="GX164" i="1"/>
  <c r="CX113" i="3"/>
  <c r="CX117" i="3"/>
  <c r="CX112" i="3"/>
  <c r="CX116" i="3"/>
  <c r="CX111" i="3"/>
  <c r="CX115" i="3"/>
  <c r="CX119" i="3"/>
  <c r="CX114" i="3"/>
  <c r="CX118" i="3"/>
  <c r="GX207" i="1"/>
  <c r="I208" i="1"/>
  <c r="U207" i="1"/>
  <c r="U119" i="1"/>
  <c r="T124" i="1"/>
  <c r="AP111" i="1"/>
  <c r="F138" i="1"/>
  <c r="R164" i="1"/>
  <c r="GN168" i="1"/>
  <c r="GM168" i="1"/>
  <c r="F181" i="1"/>
  <c r="AP161" i="1"/>
  <c r="GN166" i="1"/>
  <c r="GM166" i="1"/>
  <c r="F223" i="1"/>
  <c r="AO204" i="1"/>
  <c r="CY163" i="1"/>
  <c r="X163" i="1" s="1"/>
  <c r="GM211" i="1"/>
  <c r="GN211" i="1"/>
  <c r="GM215" i="1"/>
  <c r="GN215" i="1"/>
  <c r="V207" i="1"/>
  <c r="S207" i="1"/>
  <c r="S261" i="1"/>
  <c r="T261" i="1"/>
  <c r="GM336" i="1"/>
  <c r="GN336" i="1"/>
  <c r="CP257" i="1"/>
  <c r="O257" i="1" s="1"/>
  <c r="S260" i="1"/>
  <c r="P423" i="1"/>
  <c r="AU251" i="1"/>
  <c r="F282" i="1"/>
  <c r="R338" i="1"/>
  <c r="BC334" i="1"/>
  <c r="F357" i="1"/>
  <c r="GM420" i="1"/>
  <c r="GN420" i="1"/>
  <c r="GM424" i="1"/>
  <c r="GN424" i="1"/>
  <c r="U258" i="1"/>
  <c r="CY298" i="1"/>
  <c r="X298" i="1" s="1"/>
  <c r="GM298" i="1" s="1"/>
  <c r="CZ298" i="1"/>
  <c r="Y298" i="1" s="1"/>
  <c r="I414" i="1"/>
  <c r="S413" i="1"/>
  <c r="GX413" i="1"/>
  <c r="R413" i="1"/>
  <c r="W413" i="1"/>
  <c r="CP297" i="1"/>
  <c r="O297" i="1" s="1"/>
  <c r="AZ302" i="1"/>
  <c r="CI295" i="1"/>
  <c r="U261" i="1"/>
  <c r="F312" i="1"/>
  <c r="AQ295" i="1"/>
  <c r="GM416" i="1"/>
  <c r="GN416" i="1"/>
  <c r="CZ422" i="1"/>
  <c r="Y422" i="1" s="1"/>
  <c r="CY422" i="1"/>
  <c r="X422" i="1" s="1"/>
  <c r="R216" i="1"/>
  <c r="CZ216" i="1" s="1"/>
  <c r="Y216" i="1" s="1"/>
  <c r="F272" i="1"/>
  <c r="AP251" i="1"/>
  <c r="S423" i="1"/>
  <c r="U421" i="1"/>
  <c r="V423" i="1"/>
  <c r="K490" i="5" l="1"/>
  <c r="Y490" i="5"/>
  <c r="Z490" i="5"/>
  <c r="K491" i="5"/>
  <c r="P414" i="1"/>
  <c r="U493" i="5" s="1"/>
  <c r="D86" i="6"/>
  <c r="D493" i="5"/>
  <c r="G489" i="5"/>
  <c r="G484" i="5"/>
  <c r="T484" i="5"/>
  <c r="CP413" i="1"/>
  <c r="O413" i="1" s="1"/>
  <c r="V490" i="5"/>
  <c r="H490" i="5"/>
  <c r="X490" i="5"/>
  <c r="I491" i="5"/>
  <c r="I490" i="5"/>
  <c r="W490" i="5"/>
  <c r="AD334" i="1"/>
  <c r="Q341" i="1"/>
  <c r="AK30" i="1"/>
  <c r="X45" i="1"/>
  <c r="BA263" i="1"/>
  <c r="CJ251" i="1"/>
  <c r="AQ26" i="1"/>
  <c r="F381" i="1"/>
  <c r="AQ457" i="1"/>
  <c r="AH251" i="1"/>
  <c r="U263" i="1"/>
  <c r="AC427" i="1"/>
  <c r="Q263" i="1"/>
  <c r="AD251" i="1"/>
  <c r="AG251" i="1"/>
  <c r="T263" i="1"/>
  <c r="AI251" i="1"/>
  <c r="V263" i="1"/>
  <c r="W263" i="1"/>
  <c r="AJ251" i="1"/>
  <c r="CZ423" i="1"/>
  <c r="Y423" i="1" s="1"/>
  <c r="CY423" i="1"/>
  <c r="X423" i="1" s="1"/>
  <c r="GM257" i="1"/>
  <c r="GN257" i="1"/>
  <c r="GN298" i="1"/>
  <c r="CX175" i="3"/>
  <c r="Q300" i="1"/>
  <c r="AD302" i="1" s="1"/>
  <c r="GX300" i="1"/>
  <c r="CJ302" i="1" s="1"/>
  <c r="T300" i="1"/>
  <c r="AG302" i="1" s="1"/>
  <c r="U300" i="1"/>
  <c r="AH302" i="1" s="1"/>
  <c r="P300" i="1"/>
  <c r="S300" i="1"/>
  <c r="V300" i="1"/>
  <c r="AI302" i="1" s="1"/>
  <c r="R300" i="1"/>
  <c r="AE302" i="1" s="1"/>
  <c r="W300" i="1"/>
  <c r="AJ302" i="1" s="1"/>
  <c r="GM39" i="1"/>
  <c r="GN39" i="1"/>
  <c r="GN37" i="1"/>
  <c r="GM37" i="1"/>
  <c r="AZ410" i="1"/>
  <c r="F438" i="1"/>
  <c r="AC263" i="1"/>
  <c r="GN412" i="1"/>
  <c r="GM412" i="1"/>
  <c r="AU204" i="1"/>
  <c r="F238" i="1"/>
  <c r="CY216" i="1"/>
  <c r="X216" i="1" s="1"/>
  <c r="CY123" i="1"/>
  <c r="X123" i="1" s="1"/>
  <c r="GM123" i="1" s="1"/>
  <c r="CZ123" i="1"/>
  <c r="Y123" i="1" s="1"/>
  <c r="AU111" i="1"/>
  <c r="F148" i="1"/>
  <c r="AU371" i="1"/>
  <c r="CH30" i="1"/>
  <c r="AY45" i="1"/>
  <c r="GM255" i="1"/>
  <c r="GN255" i="1"/>
  <c r="GM117" i="1"/>
  <c r="GN117" i="1"/>
  <c r="R165" i="1"/>
  <c r="AE172" i="1" s="1"/>
  <c r="V165" i="1"/>
  <c r="GX165" i="1"/>
  <c r="CJ172" i="1" s="1"/>
  <c r="S165" i="1"/>
  <c r="U165" i="1"/>
  <c r="AH172" i="1" s="1"/>
  <c r="T165" i="1"/>
  <c r="AG172" i="1" s="1"/>
  <c r="W165" i="1"/>
  <c r="Q165" i="1"/>
  <c r="P165" i="1"/>
  <c r="GM113" i="1"/>
  <c r="GN113" i="1"/>
  <c r="AX30" i="1"/>
  <c r="F52" i="1"/>
  <c r="CI30" i="1"/>
  <c r="AZ45" i="1"/>
  <c r="AD30" i="1"/>
  <c r="Q45" i="1"/>
  <c r="U30" i="1"/>
  <c r="F67" i="1"/>
  <c r="AZ295" i="1"/>
  <c r="F313" i="1"/>
  <c r="P208" i="1"/>
  <c r="R208" i="1"/>
  <c r="AE219" i="1" s="1"/>
  <c r="T208" i="1"/>
  <c r="V208" i="1"/>
  <c r="W208" i="1"/>
  <c r="GX208" i="1"/>
  <c r="CJ219" i="1" s="1"/>
  <c r="S208" i="1"/>
  <c r="U208" i="1"/>
  <c r="AH219" i="1" s="1"/>
  <c r="Q208" i="1"/>
  <c r="AD219" i="1" s="1"/>
  <c r="AD172" i="1"/>
  <c r="AT30" i="1"/>
  <c r="F63" i="1"/>
  <c r="AT371" i="1"/>
  <c r="R45" i="1"/>
  <c r="AE30" i="1"/>
  <c r="GM256" i="1"/>
  <c r="GN256" i="1"/>
  <c r="AE251" i="1"/>
  <c r="R263" i="1"/>
  <c r="CY258" i="1"/>
  <c r="X258" i="1" s="1"/>
  <c r="CZ258" i="1"/>
  <c r="Y258" i="1" s="1"/>
  <c r="AL263" i="1" s="1"/>
  <c r="CX185" i="3"/>
  <c r="V339" i="1"/>
  <c r="GX339" i="1"/>
  <c r="CJ341" i="1" s="1"/>
  <c r="P339" i="1"/>
  <c r="U339" i="1"/>
  <c r="AH341" i="1" s="1"/>
  <c r="R339" i="1"/>
  <c r="T339" i="1"/>
  <c r="W339" i="1"/>
  <c r="AJ341" i="1" s="1"/>
  <c r="S339" i="1"/>
  <c r="GN216" i="1"/>
  <c r="GM216" i="1"/>
  <c r="HD216" i="1" s="1"/>
  <c r="CP207" i="1"/>
  <c r="O207" i="1" s="1"/>
  <c r="AI172" i="1"/>
  <c r="GN33" i="1"/>
  <c r="GN253" i="1"/>
  <c r="CP421" i="1"/>
  <c r="O421" i="1" s="1"/>
  <c r="AG341" i="1"/>
  <c r="GN206" i="1"/>
  <c r="GM206" i="1"/>
  <c r="CP164" i="1"/>
  <c r="O164" i="1" s="1"/>
  <c r="CG111" i="1"/>
  <c r="AX129" i="1"/>
  <c r="CE30" i="1"/>
  <c r="AV45" i="1"/>
  <c r="F309" i="1"/>
  <c r="AX295" i="1"/>
  <c r="CG204" i="1"/>
  <c r="AX219" i="1"/>
  <c r="CM172" i="1"/>
  <c r="CZ124" i="1"/>
  <c r="Y124" i="1" s="1"/>
  <c r="CY124" i="1"/>
  <c r="X124" i="1" s="1"/>
  <c r="GN124" i="1" s="1"/>
  <c r="CZ164" i="1"/>
  <c r="Y164" i="1" s="1"/>
  <c r="CY164" i="1"/>
  <c r="X164" i="1" s="1"/>
  <c r="AF172" i="1"/>
  <c r="AP30" i="1"/>
  <c r="F54" i="1"/>
  <c r="AP371" i="1"/>
  <c r="BB26" i="1"/>
  <c r="BB457" i="1"/>
  <c r="F384" i="1"/>
  <c r="AB45" i="1"/>
  <c r="GN41" i="1"/>
  <c r="CZ419" i="1"/>
  <c r="Y419" i="1" s="1"/>
  <c r="GM418" i="1"/>
  <c r="BA30" i="1"/>
  <c r="F65" i="1"/>
  <c r="CP423" i="1"/>
  <c r="O423" i="1" s="1"/>
  <c r="GN297" i="1"/>
  <c r="GM297" i="1"/>
  <c r="CY413" i="1"/>
  <c r="X413" i="1" s="1"/>
  <c r="CZ413" i="1"/>
  <c r="Y413" i="1" s="1"/>
  <c r="AB490" i="5" s="1"/>
  <c r="AE341" i="1"/>
  <c r="CZ261" i="1"/>
  <c r="Y261" i="1" s="1"/>
  <c r="CY261" i="1"/>
  <c r="X261" i="1" s="1"/>
  <c r="GN122" i="1"/>
  <c r="GM122" i="1"/>
  <c r="CX65" i="3"/>
  <c r="CX67" i="3"/>
  <c r="CX66" i="3"/>
  <c r="R120" i="1"/>
  <c r="T120" i="1"/>
  <c r="V120" i="1"/>
  <c r="W120" i="1"/>
  <c r="AJ129" i="1" s="1"/>
  <c r="Q120" i="1"/>
  <c r="AD129" i="1" s="1"/>
  <c r="S120" i="1"/>
  <c r="P120" i="1"/>
  <c r="GX120" i="1"/>
  <c r="CJ129" i="1" s="1"/>
  <c r="U120" i="1"/>
  <c r="AH129" i="1" s="1"/>
  <c r="Q127" i="1"/>
  <c r="V127" i="1"/>
  <c r="GX127" i="1"/>
  <c r="W127" i="1"/>
  <c r="T127" i="1"/>
  <c r="U127" i="1"/>
  <c r="R127" i="1"/>
  <c r="S127" i="1"/>
  <c r="P127" i="1"/>
  <c r="CP127" i="1" s="1"/>
  <c r="O127" i="1" s="1"/>
  <c r="AL45" i="1"/>
  <c r="CP258" i="1"/>
  <c r="O258" i="1" s="1"/>
  <c r="AZ219" i="1"/>
  <c r="CI204" i="1"/>
  <c r="CP338" i="1"/>
  <c r="O338" i="1" s="1"/>
  <c r="AC341" i="1"/>
  <c r="V217" i="1"/>
  <c r="Q217" i="1"/>
  <c r="GX217" i="1"/>
  <c r="T217" i="1"/>
  <c r="R217" i="1"/>
  <c r="P217" i="1"/>
  <c r="CP217" i="1" s="1"/>
  <c r="O217" i="1" s="1"/>
  <c r="W217" i="1"/>
  <c r="U217" i="1"/>
  <c r="S217" i="1"/>
  <c r="AJ172" i="1"/>
  <c r="CY121" i="1"/>
  <c r="X121" i="1" s="1"/>
  <c r="CZ121" i="1"/>
  <c r="Y121" i="1" s="1"/>
  <c r="GM38" i="1"/>
  <c r="HD38" i="1" s="1"/>
  <c r="CM45" i="1" s="1"/>
  <c r="GN38" i="1"/>
  <c r="GM253" i="1"/>
  <c r="CP419" i="1"/>
  <c r="O419" i="1" s="1"/>
  <c r="AF263" i="1"/>
  <c r="GN170" i="1"/>
  <c r="AQ111" i="1"/>
  <c r="F139" i="1"/>
  <c r="P30" i="1"/>
  <c r="F48" i="1"/>
  <c r="AX410" i="1"/>
  <c r="F434" i="1"/>
  <c r="AZ251" i="1"/>
  <c r="F274" i="1"/>
  <c r="AI341" i="1"/>
  <c r="CP260" i="1"/>
  <c r="O260" i="1" s="1"/>
  <c r="AQ204" i="1"/>
  <c r="F229" i="1"/>
  <c r="AZ161" i="1"/>
  <c r="F183" i="1"/>
  <c r="CY119" i="1"/>
  <c r="X119" i="1" s="1"/>
  <c r="GM119" i="1" s="1"/>
  <c r="CZ119" i="1"/>
  <c r="Y119" i="1" s="1"/>
  <c r="V30" i="1"/>
  <c r="F68" i="1"/>
  <c r="GM116" i="1"/>
  <c r="GM299" i="1"/>
  <c r="U414" i="1"/>
  <c r="T414" i="1"/>
  <c r="AG427" i="1" s="1"/>
  <c r="GX414" i="1"/>
  <c r="CJ427" i="1" s="1"/>
  <c r="R414" i="1"/>
  <c r="W414" i="1"/>
  <c r="AJ427" i="1" s="1"/>
  <c r="S414" i="1"/>
  <c r="Q414" i="1"/>
  <c r="V414" i="1"/>
  <c r="CY260" i="1"/>
  <c r="X260" i="1" s="1"/>
  <c r="CZ260" i="1"/>
  <c r="Y260" i="1" s="1"/>
  <c r="CY207" i="1"/>
  <c r="X207" i="1" s="1"/>
  <c r="CZ207" i="1"/>
  <c r="Y207" i="1" s="1"/>
  <c r="AI219" i="1"/>
  <c r="AI129" i="1"/>
  <c r="S126" i="1"/>
  <c r="R126" i="1"/>
  <c r="T126" i="1"/>
  <c r="AG129" i="1" s="1"/>
  <c r="U126" i="1"/>
  <c r="V126" i="1"/>
  <c r="Q126" i="1"/>
  <c r="P126" i="1"/>
  <c r="CP126" i="1" s="1"/>
  <c r="O126" i="1" s="1"/>
  <c r="GX126" i="1"/>
  <c r="W126" i="1"/>
  <c r="T30" i="1"/>
  <c r="F66" i="1"/>
  <c r="BC26" i="1"/>
  <c r="F387" i="1"/>
  <c r="BC457" i="1"/>
  <c r="GN422" i="1"/>
  <c r="GM422" i="1"/>
  <c r="AP204" i="1"/>
  <c r="F228" i="1"/>
  <c r="CZ421" i="1"/>
  <c r="Y421" i="1" s="1"/>
  <c r="CY421" i="1"/>
  <c r="X421" i="1" s="1"/>
  <c r="AX161" i="1"/>
  <c r="F179" i="1"/>
  <c r="GM163" i="1"/>
  <c r="GN163" i="1"/>
  <c r="GM121" i="1"/>
  <c r="GN121" i="1"/>
  <c r="GM43" i="1"/>
  <c r="HD43" i="1" s="1"/>
  <c r="GN43" i="1"/>
  <c r="GN40" i="1"/>
  <c r="CB45" i="1" s="1"/>
  <c r="GM40" i="1"/>
  <c r="CA45" i="1" s="1"/>
  <c r="S30" i="1"/>
  <c r="F60" i="1"/>
  <c r="F352" i="1"/>
  <c r="AZ334" i="1"/>
  <c r="CZ338" i="1"/>
  <c r="Y338" i="1" s="1"/>
  <c r="CY338" i="1"/>
  <c r="X338" i="1" s="1"/>
  <c r="AF341" i="1"/>
  <c r="CP261" i="1"/>
  <c r="O261" i="1" s="1"/>
  <c r="GN210" i="1"/>
  <c r="GM210" i="1"/>
  <c r="CY125" i="1"/>
  <c r="X125" i="1" s="1"/>
  <c r="GM125" i="1" s="1"/>
  <c r="CZ125" i="1"/>
  <c r="Y125" i="1" s="1"/>
  <c r="CF30" i="1"/>
  <c r="AW45" i="1"/>
  <c r="AX251" i="1"/>
  <c r="F270" i="1"/>
  <c r="AC129" i="1"/>
  <c r="CZ118" i="1"/>
  <c r="Y118" i="1" s="1"/>
  <c r="CY118" i="1"/>
  <c r="X118" i="1" s="1"/>
  <c r="AO26" i="1"/>
  <c r="F375" i="1"/>
  <c r="AO457" i="1"/>
  <c r="AZ111" i="1"/>
  <c r="F140" i="1"/>
  <c r="GN116" i="1"/>
  <c r="W30" i="1"/>
  <c r="F69" i="1"/>
  <c r="AE427" i="1" l="1"/>
  <c r="I494" i="5"/>
  <c r="X493" i="5"/>
  <c r="I572" i="5" s="1"/>
  <c r="V493" i="5"/>
  <c r="H571" i="5" s="1"/>
  <c r="H493" i="5"/>
  <c r="AI427" i="1"/>
  <c r="AI410" i="1" s="1"/>
  <c r="K494" i="5"/>
  <c r="Z493" i="5"/>
  <c r="K577" i="5" s="1"/>
  <c r="AD427" i="1"/>
  <c r="Q427" i="1" s="1"/>
  <c r="W493" i="5"/>
  <c r="I493" i="5"/>
  <c r="AH427" i="1"/>
  <c r="AH410" i="1" s="1"/>
  <c r="K493" i="5"/>
  <c r="Y493" i="5"/>
  <c r="GN413" i="1"/>
  <c r="AA490" i="5"/>
  <c r="T490" i="5"/>
  <c r="G490" i="5"/>
  <c r="R427" i="1"/>
  <c r="AE410" i="1"/>
  <c r="AE204" i="1"/>
  <c r="R219" i="1"/>
  <c r="AG295" i="1"/>
  <c r="T302" i="1"/>
  <c r="CB30" i="1"/>
  <c r="AS45" i="1"/>
  <c r="CJ410" i="1"/>
  <c r="BA427" i="1"/>
  <c r="CM30" i="1"/>
  <c r="BD45" i="1"/>
  <c r="U129" i="1"/>
  <c r="AH111" i="1"/>
  <c r="AD111" i="1"/>
  <c r="Q129" i="1"/>
  <c r="Y263" i="1"/>
  <c r="AL251" i="1"/>
  <c r="AD204" i="1"/>
  <c r="Q219" i="1"/>
  <c r="CA30" i="1"/>
  <c r="AR45" i="1"/>
  <c r="CJ204" i="1"/>
  <c r="BA219" i="1"/>
  <c r="CJ161" i="1"/>
  <c r="BA172" i="1"/>
  <c r="CJ111" i="1"/>
  <c r="BA129" i="1"/>
  <c r="AJ111" i="1"/>
  <c r="W129" i="1"/>
  <c r="BA341" i="1"/>
  <c r="CJ334" i="1"/>
  <c r="AH204" i="1"/>
  <c r="U219" i="1"/>
  <c r="AE161" i="1"/>
  <c r="R172" i="1"/>
  <c r="AJ295" i="1"/>
  <c r="W302" i="1"/>
  <c r="AG111" i="1"/>
  <c r="T129" i="1"/>
  <c r="AJ410" i="1"/>
  <c r="W427" i="1"/>
  <c r="AD410" i="1"/>
  <c r="GM260" i="1"/>
  <c r="GN260" i="1"/>
  <c r="AF251" i="1"/>
  <c r="S263" i="1"/>
  <c r="R341" i="1"/>
  <c r="AE334" i="1"/>
  <c r="CM161" i="1"/>
  <c r="BD172" i="1"/>
  <c r="AK263" i="1"/>
  <c r="R30" i="1"/>
  <c r="F59" i="1"/>
  <c r="GN119" i="1"/>
  <c r="AG161" i="1"/>
  <c r="T172" i="1"/>
  <c r="AU26" i="1"/>
  <c r="F390" i="1"/>
  <c r="AU457" i="1"/>
  <c r="R302" i="1"/>
  <c r="AE295" i="1"/>
  <c r="U302" i="1"/>
  <c r="AH295" i="1"/>
  <c r="CP414" i="1"/>
  <c r="O414" i="1" s="1"/>
  <c r="X30" i="1"/>
  <c r="F71" i="1"/>
  <c r="AC111" i="1"/>
  <c r="CH129" i="1"/>
  <c r="P129" i="1"/>
  <c r="CE129" i="1"/>
  <c r="CF129" i="1"/>
  <c r="GN261" i="1"/>
  <c r="GM261" i="1"/>
  <c r="BC22" i="1"/>
  <c r="BC493" i="1"/>
  <c r="F473" i="1"/>
  <c r="S341" i="1"/>
  <c r="AF334" i="1"/>
  <c r="V219" i="1"/>
  <c r="AI204" i="1"/>
  <c r="CZ414" i="1"/>
  <c r="Y414" i="1" s="1"/>
  <c r="AB493" i="5" s="1"/>
  <c r="CY414" i="1"/>
  <c r="X414" i="1" s="1"/>
  <c r="AA493" i="5" s="1"/>
  <c r="AG410" i="1"/>
  <c r="T427" i="1"/>
  <c r="V341" i="1"/>
  <c r="AI334" i="1"/>
  <c r="GM419" i="1"/>
  <c r="GN419" i="1"/>
  <c r="CY217" i="1"/>
  <c r="X217" i="1" s="1"/>
  <c r="GN217" i="1" s="1"/>
  <c r="CZ217" i="1"/>
  <c r="Y217" i="1" s="1"/>
  <c r="AZ204" i="1"/>
  <c r="F230" i="1"/>
  <c r="CY127" i="1"/>
  <c r="X127" i="1" s="1"/>
  <c r="GM127" i="1" s="1"/>
  <c r="CZ127" i="1"/>
  <c r="Y127" i="1" s="1"/>
  <c r="GM118" i="1"/>
  <c r="CP120" i="1"/>
  <c r="O120" i="1" s="1"/>
  <c r="AF427" i="1"/>
  <c r="BB22" i="1"/>
  <c r="F470" i="1"/>
  <c r="BB493" i="1"/>
  <c r="AX204" i="1"/>
  <c r="F226" i="1"/>
  <c r="AV30" i="1"/>
  <c r="F50" i="1"/>
  <c r="GN164" i="1"/>
  <c r="GM164" i="1"/>
  <c r="AG334" i="1"/>
  <c r="T341" i="1"/>
  <c r="AI161" i="1"/>
  <c r="V172" i="1"/>
  <c r="R251" i="1"/>
  <c r="F277" i="1"/>
  <c r="AT26" i="1"/>
  <c r="F389" i="1"/>
  <c r="AT457" i="1"/>
  <c r="CZ208" i="1"/>
  <c r="Y208" i="1" s="1"/>
  <c r="AL219" i="1" s="1"/>
  <c r="CY208" i="1"/>
  <c r="X208" i="1" s="1"/>
  <c r="AK219" i="1" s="1"/>
  <c r="AG219" i="1"/>
  <c r="AZ30" i="1"/>
  <c r="F56" i="1"/>
  <c r="AZ371" i="1"/>
  <c r="CP165" i="1"/>
  <c r="O165" i="1" s="1"/>
  <c r="AC172" i="1"/>
  <c r="AH161" i="1"/>
  <c r="U172" i="1"/>
  <c r="GN125" i="1"/>
  <c r="AC251" i="1"/>
  <c r="P263" i="1"/>
  <c r="CE263" i="1"/>
  <c r="CF263" i="1"/>
  <c r="CH263" i="1"/>
  <c r="V302" i="1"/>
  <c r="AI295" i="1"/>
  <c r="GN123" i="1"/>
  <c r="W251" i="1"/>
  <c r="F287" i="1"/>
  <c r="F284" i="1"/>
  <c r="T251" i="1"/>
  <c r="Q251" i="1"/>
  <c r="F275" i="1"/>
  <c r="GM124" i="1"/>
  <c r="AQ22" i="1"/>
  <c r="F467" i="1"/>
  <c r="AQ493" i="1"/>
  <c r="AO22" i="1"/>
  <c r="F461" i="1"/>
  <c r="AO493" i="1"/>
  <c r="AW30" i="1"/>
  <c r="F51" i="1"/>
  <c r="CZ126" i="1"/>
  <c r="Y126" i="1" s="1"/>
  <c r="CY126" i="1"/>
  <c r="X126" i="1" s="1"/>
  <c r="GM126" i="1" s="1"/>
  <c r="CA263" i="1"/>
  <c r="AC334" i="1"/>
  <c r="P341" i="1"/>
  <c r="CF341" i="1"/>
  <c r="CE341" i="1"/>
  <c r="CH341" i="1"/>
  <c r="GM258" i="1"/>
  <c r="GN258" i="1"/>
  <c r="GN118" i="1"/>
  <c r="CZ120" i="1"/>
  <c r="Y120" i="1" s="1"/>
  <c r="AL129" i="1" s="1"/>
  <c r="CY120" i="1"/>
  <c r="X120" i="1" s="1"/>
  <c r="AF129" i="1"/>
  <c r="GM421" i="1"/>
  <c r="GN421" i="1"/>
  <c r="AC219" i="1"/>
  <c r="CZ339" i="1"/>
  <c r="Y339" i="1" s="1"/>
  <c r="CY339" i="1"/>
  <c r="X339" i="1" s="1"/>
  <c r="AK341" i="1" s="1"/>
  <c r="AH334" i="1"/>
  <c r="U341" i="1"/>
  <c r="Q172" i="1"/>
  <c r="AD161" i="1"/>
  <c r="CY165" i="1"/>
  <c r="X165" i="1" s="1"/>
  <c r="AK172" i="1" s="1"/>
  <c r="CZ165" i="1"/>
  <c r="Y165" i="1" s="1"/>
  <c r="AL172" i="1" s="1"/>
  <c r="AY30" i="1"/>
  <c r="F53" i="1"/>
  <c r="CY300" i="1"/>
  <c r="X300" i="1" s="1"/>
  <c r="AK302" i="1" s="1"/>
  <c r="CZ300" i="1"/>
  <c r="Y300" i="1" s="1"/>
  <c r="AL302" i="1" s="1"/>
  <c r="AF302" i="1"/>
  <c r="CJ295" i="1"/>
  <c r="BA302" i="1"/>
  <c r="V251" i="1"/>
  <c r="F286" i="1"/>
  <c r="AF219" i="1"/>
  <c r="BA251" i="1"/>
  <c r="F283" i="1"/>
  <c r="AL341" i="1"/>
  <c r="AI111" i="1"/>
  <c r="V129" i="1"/>
  <c r="V427" i="1"/>
  <c r="AJ161" i="1"/>
  <c r="W172" i="1"/>
  <c r="GN338" i="1"/>
  <c r="GM338" i="1"/>
  <c r="AL30" i="1"/>
  <c r="Y45" i="1"/>
  <c r="AE129" i="1"/>
  <c r="GM423" i="1"/>
  <c r="GN423" i="1"/>
  <c r="AB30" i="1"/>
  <c r="O45" i="1"/>
  <c r="AP26" i="1"/>
  <c r="AP457" i="1"/>
  <c r="F380" i="1"/>
  <c r="AF161" i="1"/>
  <c r="S172" i="1"/>
  <c r="AX111" i="1"/>
  <c r="F136" i="1"/>
  <c r="CB263" i="1"/>
  <c r="GM207" i="1"/>
  <c r="GN207" i="1"/>
  <c r="W341" i="1"/>
  <c r="AJ334" i="1"/>
  <c r="CP339" i="1"/>
  <c r="O339" i="1" s="1"/>
  <c r="AJ219" i="1"/>
  <c r="CP208" i="1"/>
  <c r="O208" i="1" s="1"/>
  <c r="Q30" i="1"/>
  <c r="F57" i="1"/>
  <c r="AX371" i="1"/>
  <c r="CP300" i="1"/>
  <c r="O300" i="1" s="1"/>
  <c r="AC302" i="1"/>
  <c r="Q302" i="1"/>
  <c r="AD295" i="1"/>
  <c r="P427" i="1"/>
  <c r="CE427" i="1"/>
  <c r="AC410" i="1"/>
  <c r="CF427" i="1"/>
  <c r="CH427" i="1"/>
  <c r="U251" i="1"/>
  <c r="F285" i="1"/>
  <c r="AB263" i="1"/>
  <c r="GM413" i="1"/>
  <c r="HD413" i="1" s="1"/>
  <c r="Q334" i="1"/>
  <c r="F353" i="1"/>
  <c r="U427" i="1" l="1"/>
  <c r="AK427" i="1"/>
  <c r="H576" i="5"/>
  <c r="G576" i="5"/>
  <c r="G493" i="5"/>
  <c r="T493" i="5"/>
  <c r="G571" i="5"/>
  <c r="L418" i="1" s="1"/>
  <c r="K572" i="5"/>
  <c r="AL427" i="1"/>
  <c r="AL410" i="1" s="1"/>
  <c r="K576" i="5"/>
  <c r="K571" i="5"/>
  <c r="I576" i="5"/>
  <c r="I571" i="5"/>
  <c r="I577" i="5"/>
  <c r="AL111" i="1"/>
  <c r="Y129" i="1"/>
  <c r="AK204" i="1"/>
  <c r="X219" i="1"/>
  <c r="X172" i="1"/>
  <c r="AK161" i="1"/>
  <c r="AL204" i="1"/>
  <c r="Y219" i="1"/>
  <c r="AK334" i="1"/>
  <c r="X341" i="1"/>
  <c r="P410" i="1"/>
  <c r="F430" i="1"/>
  <c r="AJ204" i="1"/>
  <c r="W219" i="1"/>
  <c r="AB251" i="1"/>
  <c r="O263" i="1"/>
  <c r="CF410" i="1"/>
  <c r="AW427" i="1"/>
  <c r="GN339" i="1"/>
  <c r="GM339" i="1"/>
  <c r="AP22" i="1"/>
  <c r="AP493" i="1"/>
  <c r="F466" i="1"/>
  <c r="G16" i="2" s="1"/>
  <c r="G18" i="2" s="1"/>
  <c r="Y30" i="1"/>
  <c r="F72" i="1"/>
  <c r="CB341" i="1"/>
  <c r="Y302" i="1"/>
  <c r="AL295" i="1"/>
  <c r="F184" i="1"/>
  <c r="Q161" i="1"/>
  <c r="CH334" i="1"/>
  <c r="AY341" i="1"/>
  <c r="CE251" i="1"/>
  <c r="AV263" i="1"/>
  <c r="U161" i="1"/>
  <c r="F194" i="1"/>
  <c r="AZ26" i="1"/>
  <c r="F382" i="1"/>
  <c r="AZ457" i="1"/>
  <c r="BC18" i="1"/>
  <c r="F509" i="1"/>
  <c r="CH111" i="1"/>
  <c r="AY129" i="1"/>
  <c r="BD161" i="1"/>
  <c r="F197" i="1"/>
  <c r="R334" i="1"/>
  <c r="F355" i="1"/>
  <c r="GM217" i="1"/>
  <c r="HD217" i="1" s="1"/>
  <c r="CM219" i="1" s="1"/>
  <c r="GN126" i="1"/>
  <c r="BA334" i="1"/>
  <c r="F361" i="1"/>
  <c r="BA204" i="1"/>
  <c r="F239" i="1"/>
  <c r="Y251" i="1"/>
  <c r="F290" i="1"/>
  <c r="U111" i="1"/>
  <c r="F151" i="1"/>
  <c r="U371" i="1"/>
  <c r="AK129" i="1"/>
  <c r="V111" i="1"/>
  <c r="F152" i="1"/>
  <c r="V371" i="1"/>
  <c r="BA295" i="1"/>
  <c r="F322" i="1"/>
  <c r="Y172" i="1"/>
  <c r="AL161" i="1"/>
  <c r="U334" i="1"/>
  <c r="F363" i="1"/>
  <c r="CF219" i="1"/>
  <c r="AC204" i="1"/>
  <c r="CH219" i="1"/>
  <c r="CE219" i="1"/>
  <c r="P219" i="1"/>
  <c r="Y427" i="1"/>
  <c r="CE334" i="1"/>
  <c r="AV341" i="1"/>
  <c r="CA251" i="1"/>
  <c r="AR263" i="1"/>
  <c r="AQ18" i="1"/>
  <c r="F503" i="1"/>
  <c r="F325" i="1"/>
  <c r="V295" i="1"/>
  <c r="F266" i="1"/>
  <c r="P251" i="1"/>
  <c r="T334" i="1"/>
  <c r="F362" i="1"/>
  <c r="AF410" i="1"/>
  <c r="S427" i="1"/>
  <c r="F364" i="1"/>
  <c r="V334" i="1"/>
  <c r="CF111" i="1"/>
  <c r="AW129" i="1"/>
  <c r="GN414" i="1"/>
  <c r="CB427" i="1" s="1"/>
  <c r="GM414" i="1"/>
  <c r="HD414" i="1" s="1"/>
  <c r="AB427" i="1"/>
  <c r="F316" i="1"/>
  <c r="R295" i="1"/>
  <c r="AK251" i="1"/>
  <c r="X263" i="1"/>
  <c r="GN127" i="1"/>
  <c r="S251" i="1"/>
  <c r="F278" i="1"/>
  <c r="Q410" i="1"/>
  <c r="F439" i="1"/>
  <c r="W410" i="1"/>
  <c r="F451" i="1"/>
  <c r="F326" i="1"/>
  <c r="W295" i="1"/>
  <c r="F241" i="1"/>
  <c r="U204" i="1"/>
  <c r="W111" i="1"/>
  <c r="F153" i="1"/>
  <c r="W371" i="1"/>
  <c r="Q204" i="1"/>
  <c r="F231" i="1"/>
  <c r="Q111" i="1"/>
  <c r="F141" i="1"/>
  <c r="BD30" i="1"/>
  <c r="F70" i="1"/>
  <c r="T295" i="1"/>
  <c r="F323" i="1"/>
  <c r="CM427" i="1"/>
  <c r="Q295" i="1"/>
  <c r="F314" i="1"/>
  <c r="AS263" i="1"/>
  <c r="CB251" i="1"/>
  <c r="S161" i="1"/>
  <c r="F187" i="1"/>
  <c r="W161" i="1"/>
  <c r="F196" i="1"/>
  <c r="AK295" i="1"/>
  <c r="X302" i="1"/>
  <c r="AV427" i="1"/>
  <c r="CE410" i="1"/>
  <c r="CF302" i="1"/>
  <c r="AC295" i="1"/>
  <c r="CE302" i="1"/>
  <c r="P302" i="1"/>
  <c r="CH302" i="1"/>
  <c r="AX26" i="1"/>
  <c r="F378" i="1"/>
  <c r="AX457" i="1"/>
  <c r="GN208" i="1"/>
  <c r="CB219" i="1" s="1"/>
  <c r="GM208" i="1"/>
  <c r="CA219" i="1" s="1"/>
  <c r="AB219" i="1"/>
  <c r="F365" i="1"/>
  <c r="W334" i="1"/>
  <c r="O30" i="1"/>
  <c r="F47" i="1"/>
  <c r="X427" i="1"/>
  <c r="AK410" i="1"/>
  <c r="AB341" i="1"/>
  <c r="AF204" i="1"/>
  <c r="S219" i="1"/>
  <c r="AF111" i="1"/>
  <c r="S129" i="1"/>
  <c r="CF334" i="1"/>
  <c r="AW341" i="1"/>
  <c r="F449" i="1"/>
  <c r="U410" i="1"/>
  <c r="AO18" i="1"/>
  <c r="F497" i="1"/>
  <c r="AY263" i="1"/>
  <c r="CH251" i="1"/>
  <c r="P172" i="1"/>
  <c r="CH172" i="1"/>
  <c r="CE172" i="1"/>
  <c r="AC161" i="1"/>
  <c r="CF172" i="1"/>
  <c r="AT22" i="1"/>
  <c r="F475" i="1"/>
  <c r="F16" i="2" s="1"/>
  <c r="F18" i="2" s="1"/>
  <c r="AT493" i="1"/>
  <c r="BB18" i="1"/>
  <c r="F506" i="1"/>
  <c r="GN120" i="1"/>
  <c r="CB129" i="1" s="1"/>
  <c r="GM120" i="1"/>
  <c r="CA129" i="1" s="1"/>
  <c r="AB129" i="1"/>
  <c r="T410" i="1"/>
  <c r="F448" i="1"/>
  <c r="F356" i="1"/>
  <c r="S334" i="1"/>
  <c r="CE111" i="1"/>
  <c r="AV129" i="1"/>
  <c r="T161" i="1"/>
  <c r="F193" i="1"/>
  <c r="BA161" i="1"/>
  <c r="F192" i="1"/>
  <c r="AS30" i="1"/>
  <c r="F62" i="1"/>
  <c r="CH410" i="1"/>
  <c r="AY427" i="1"/>
  <c r="GM300" i="1"/>
  <c r="CA302" i="1" s="1"/>
  <c r="GN300" i="1"/>
  <c r="CB302" i="1" s="1"/>
  <c r="AB302" i="1"/>
  <c r="Q371" i="1"/>
  <c r="AE111" i="1"/>
  <c r="R129" i="1"/>
  <c r="CA341" i="1"/>
  <c r="V410" i="1"/>
  <c r="F450" i="1"/>
  <c r="AL334" i="1"/>
  <c r="Y341" i="1"/>
  <c r="AF295" i="1"/>
  <c r="S302" i="1"/>
  <c r="F344" i="1"/>
  <c r="P334" i="1"/>
  <c r="CF251" i="1"/>
  <c r="AW263" i="1"/>
  <c r="GM165" i="1"/>
  <c r="CA172" i="1" s="1"/>
  <c r="GN165" i="1"/>
  <c r="CB172" i="1" s="1"/>
  <c r="AB172" i="1"/>
  <c r="AG204" i="1"/>
  <c r="T219" i="1"/>
  <c r="V161" i="1"/>
  <c r="F195" i="1"/>
  <c r="V204" i="1"/>
  <c r="F242" i="1"/>
  <c r="P111" i="1"/>
  <c r="F132" i="1"/>
  <c r="P371" i="1"/>
  <c r="F324" i="1"/>
  <c r="U295" i="1"/>
  <c r="AU22" i="1"/>
  <c r="AU493" i="1"/>
  <c r="F476" i="1"/>
  <c r="T111" i="1"/>
  <c r="F150" i="1"/>
  <c r="T371" i="1"/>
  <c r="R161" i="1"/>
  <c r="F186" i="1"/>
  <c r="BA111" i="1"/>
  <c r="F149" i="1"/>
  <c r="BA371" i="1"/>
  <c r="AR30" i="1"/>
  <c r="F73" i="1"/>
  <c r="BA410" i="1"/>
  <c r="F447" i="1"/>
  <c r="R204" i="1"/>
  <c r="F233" i="1"/>
  <c r="R410" i="1"/>
  <c r="F441" i="1"/>
  <c r="CA111" i="1" l="1"/>
  <c r="AR129" i="1"/>
  <c r="CB204" i="1"/>
  <c r="AS219" i="1"/>
  <c r="CB161" i="1"/>
  <c r="AS172" i="1"/>
  <c r="CA161" i="1"/>
  <c r="AR172" i="1"/>
  <c r="AR219" i="1"/>
  <c r="CA204" i="1"/>
  <c r="CA334" i="1"/>
  <c r="AR341" i="1"/>
  <c r="BA26" i="1"/>
  <c r="F391" i="1"/>
  <c r="BA457" i="1"/>
  <c r="T204" i="1"/>
  <c r="F240" i="1"/>
  <c r="R111" i="1"/>
  <c r="F143" i="1"/>
  <c r="R371" i="1"/>
  <c r="CB295" i="1"/>
  <c r="AS302" i="1"/>
  <c r="AY172" i="1"/>
  <c r="CH161" i="1"/>
  <c r="AW334" i="1"/>
  <c r="F347" i="1"/>
  <c r="S204" i="1"/>
  <c r="F234" i="1"/>
  <c r="X410" i="1"/>
  <c r="F453" i="1"/>
  <c r="AY302" i="1"/>
  <c r="CH295" i="1"/>
  <c r="CF295" i="1"/>
  <c r="AW302" i="1"/>
  <c r="AW111" i="1"/>
  <c r="F135" i="1"/>
  <c r="S410" i="1"/>
  <c r="F442" i="1"/>
  <c r="AV334" i="1"/>
  <c r="F346" i="1"/>
  <c r="P204" i="1"/>
  <c r="F222" i="1"/>
  <c r="CF204" i="1"/>
  <c r="AW219" i="1"/>
  <c r="Y161" i="1"/>
  <c r="F199" i="1"/>
  <c r="Y371" i="1"/>
  <c r="AP18" i="1"/>
  <c r="F502" i="1"/>
  <c r="CA427" i="1"/>
  <c r="X161" i="1"/>
  <c r="F198" i="1"/>
  <c r="AU18" i="1"/>
  <c r="F512" i="1"/>
  <c r="AR302" i="1"/>
  <c r="CA295" i="1"/>
  <c r="AB111" i="1"/>
  <c r="O129" i="1"/>
  <c r="CF161" i="1"/>
  <c r="AW172" i="1"/>
  <c r="P161" i="1"/>
  <c r="F175" i="1"/>
  <c r="AX22" i="1"/>
  <c r="F464" i="1"/>
  <c r="AX493" i="1"/>
  <c r="P295" i="1"/>
  <c r="F305" i="1"/>
  <c r="BD427" i="1"/>
  <c r="CM410" i="1"/>
  <c r="F289" i="1"/>
  <c r="X251" i="1"/>
  <c r="AB410" i="1"/>
  <c r="O427" i="1"/>
  <c r="CE204" i="1"/>
  <c r="AV219" i="1"/>
  <c r="CM204" i="1"/>
  <c r="BD219" i="1"/>
  <c r="F349" i="1"/>
  <c r="AY334" i="1"/>
  <c r="AW410" i="1"/>
  <c r="F433" i="1"/>
  <c r="W204" i="1"/>
  <c r="F243" i="1"/>
  <c r="Y204" i="1"/>
  <c r="F246" i="1"/>
  <c r="T26" i="1"/>
  <c r="F392" i="1"/>
  <c r="T457" i="1"/>
  <c r="P26" i="1"/>
  <c r="F374" i="1"/>
  <c r="P457" i="1"/>
  <c r="AW251" i="1"/>
  <c r="F269" i="1"/>
  <c r="F317" i="1"/>
  <c r="S295" i="1"/>
  <c r="AB161" i="1"/>
  <c r="O172" i="1"/>
  <c r="Q26" i="1"/>
  <c r="F383" i="1"/>
  <c r="Q457" i="1"/>
  <c r="AY410" i="1"/>
  <c r="F435" i="1"/>
  <c r="AT18" i="1"/>
  <c r="F511" i="1"/>
  <c r="S111" i="1"/>
  <c r="F144" i="1"/>
  <c r="S371" i="1"/>
  <c r="AB334" i="1"/>
  <c r="O341" i="1"/>
  <c r="AB204" i="1"/>
  <c r="O219" i="1"/>
  <c r="CE295" i="1"/>
  <c r="AV302" i="1"/>
  <c r="AV410" i="1"/>
  <c r="F432" i="1"/>
  <c r="AS251" i="1"/>
  <c r="F280" i="1"/>
  <c r="AR251" i="1"/>
  <c r="F291" i="1"/>
  <c r="Y410" i="1"/>
  <c r="F454" i="1"/>
  <c r="CH204" i="1"/>
  <c r="AY219" i="1"/>
  <c r="AY371" i="1" s="1"/>
  <c r="AK111" i="1"/>
  <c r="X129" i="1"/>
  <c r="AY111" i="1"/>
  <c r="F137" i="1"/>
  <c r="AZ22" i="1"/>
  <c r="F468" i="1"/>
  <c r="AZ493" i="1"/>
  <c r="Y295" i="1"/>
  <c r="F329" i="1"/>
  <c r="X334" i="1"/>
  <c r="F367" i="1"/>
  <c r="Y111" i="1"/>
  <c r="F156" i="1"/>
  <c r="Y334" i="1"/>
  <c r="F368" i="1"/>
  <c r="AB295" i="1"/>
  <c r="O302" i="1"/>
  <c r="F134" i="1"/>
  <c r="AV111" i="1"/>
  <c r="CB111" i="1"/>
  <c r="AS129" i="1"/>
  <c r="CE161" i="1"/>
  <c r="AV172" i="1"/>
  <c r="AY251" i="1"/>
  <c r="F271" i="1"/>
  <c r="X295" i="1"/>
  <c r="F328" i="1"/>
  <c r="W26" i="1"/>
  <c r="F395" i="1"/>
  <c r="W457" i="1"/>
  <c r="CB410" i="1"/>
  <c r="AS427" i="1"/>
  <c r="V26" i="1"/>
  <c r="V457" i="1"/>
  <c r="F394" i="1"/>
  <c r="U26" i="1"/>
  <c r="F393" i="1"/>
  <c r="U457" i="1"/>
  <c r="F268" i="1"/>
  <c r="AV251" i="1"/>
  <c r="CB334" i="1"/>
  <c r="AS341" i="1"/>
  <c r="O251" i="1"/>
  <c r="F265" i="1"/>
  <c r="X204" i="1"/>
  <c r="F245" i="1"/>
  <c r="AY26" i="1" l="1"/>
  <c r="F379" i="1"/>
  <c r="AY457" i="1"/>
  <c r="V22" i="1"/>
  <c r="F480" i="1"/>
  <c r="V493" i="1"/>
  <c r="AS111" i="1"/>
  <c r="F146" i="1"/>
  <c r="AS371" i="1"/>
  <c r="O111" i="1"/>
  <c r="F131" i="1"/>
  <c r="O371" i="1"/>
  <c r="CA410" i="1"/>
  <c r="AR427" i="1"/>
  <c r="AY295" i="1"/>
  <c r="F310" i="1"/>
  <c r="AY161" i="1"/>
  <c r="F180" i="1"/>
  <c r="F369" i="1"/>
  <c r="AR334" i="1"/>
  <c r="AR161" i="1"/>
  <c r="F200" i="1"/>
  <c r="AS204" i="1"/>
  <c r="F236" i="1"/>
  <c r="W22" i="1"/>
  <c r="F481" i="1"/>
  <c r="W493" i="1"/>
  <c r="X111" i="1"/>
  <c r="F155" i="1"/>
  <c r="X371" i="1"/>
  <c r="F343" i="1"/>
  <c r="O334" i="1"/>
  <c r="O161" i="1"/>
  <c r="F174" i="1"/>
  <c r="BD204" i="1"/>
  <c r="F244" i="1"/>
  <c r="BD371" i="1"/>
  <c r="F429" i="1"/>
  <c r="O410" i="1"/>
  <c r="AX18" i="1"/>
  <c r="F500" i="1"/>
  <c r="F308" i="1"/>
  <c r="AW295" i="1"/>
  <c r="AS295" i="1"/>
  <c r="F319" i="1"/>
  <c r="BA22" i="1"/>
  <c r="F477" i="1"/>
  <c r="H16" i="2" s="1"/>
  <c r="H18" i="2" s="1"/>
  <c r="BA493" i="1"/>
  <c r="U22" i="1"/>
  <c r="F479" i="1"/>
  <c r="U493" i="1"/>
  <c r="F444" i="1"/>
  <c r="AS410" i="1"/>
  <c r="F304" i="1"/>
  <c r="O295" i="1"/>
  <c r="AV295" i="1"/>
  <c r="F307" i="1"/>
  <c r="AV161" i="1"/>
  <c r="F177" i="1"/>
  <c r="AV371" i="1"/>
  <c r="Q22" i="1"/>
  <c r="Q493" i="1"/>
  <c r="F469" i="1"/>
  <c r="T22" i="1"/>
  <c r="T493" i="1"/>
  <c r="F478" i="1"/>
  <c r="BD410" i="1"/>
  <c r="F452" i="1"/>
  <c r="AW161" i="1"/>
  <c r="F178" i="1"/>
  <c r="F225" i="1"/>
  <c r="AW204" i="1"/>
  <c r="AW371" i="1"/>
  <c r="AS161" i="1"/>
  <c r="F189" i="1"/>
  <c r="AR111" i="1"/>
  <c r="F157" i="1"/>
  <c r="AR371" i="1"/>
  <c r="AS334" i="1"/>
  <c r="F358" i="1"/>
  <c r="AZ18" i="1"/>
  <c r="F504" i="1"/>
  <c r="AY204" i="1"/>
  <c r="F227" i="1"/>
  <c r="O204" i="1"/>
  <c r="F221" i="1"/>
  <c r="S26" i="1"/>
  <c r="F386" i="1"/>
  <c r="S457" i="1"/>
  <c r="P22" i="1"/>
  <c r="P493" i="1"/>
  <c r="F460" i="1"/>
  <c r="AV204" i="1"/>
  <c r="F224" i="1"/>
  <c r="AR295" i="1"/>
  <c r="F330" i="1"/>
  <c r="Y26" i="1"/>
  <c r="F398" i="1"/>
  <c r="F402" i="1" s="1"/>
  <c r="Y457" i="1"/>
  <c r="R26" i="1"/>
  <c r="R457" i="1"/>
  <c r="F385" i="1"/>
  <c r="AR204" i="1"/>
  <c r="F247" i="1"/>
  <c r="AV26" i="1" l="1"/>
  <c r="F376" i="1"/>
  <c r="AV457" i="1"/>
  <c r="BA18" i="1"/>
  <c r="F513" i="1"/>
  <c r="O26" i="1"/>
  <c r="O457" i="1"/>
  <c r="F373" i="1"/>
  <c r="F400" i="1" s="1"/>
  <c r="P18" i="1"/>
  <c r="F496" i="1"/>
  <c r="U18" i="1"/>
  <c r="F515" i="1"/>
  <c r="W18" i="1"/>
  <c r="F517" i="1"/>
  <c r="AY22" i="1"/>
  <c r="AY493" i="1"/>
  <c r="F465" i="1"/>
  <c r="Y22" i="1"/>
  <c r="F484" i="1"/>
  <c r="H581" i="5" s="1"/>
  <c r="Y493" i="1"/>
  <c r="AR26" i="1"/>
  <c r="F399" i="1"/>
  <c r="AR457" i="1"/>
  <c r="Q18" i="1"/>
  <c r="F505" i="1"/>
  <c r="X26" i="1"/>
  <c r="F397" i="1"/>
  <c r="F401" i="1" s="1"/>
  <c r="X457" i="1"/>
  <c r="AR410" i="1"/>
  <c r="F455" i="1"/>
  <c r="V18" i="1"/>
  <c r="F516" i="1"/>
  <c r="R22" i="1"/>
  <c r="F471" i="1"/>
  <c r="R493" i="1"/>
  <c r="S22" i="1"/>
  <c r="F472" i="1"/>
  <c r="J16" i="2" s="1"/>
  <c r="J18" i="2" s="1"/>
  <c r="S493" i="1"/>
  <c r="AW26" i="1"/>
  <c r="AW457" i="1"/>
  <c r="F377" i="1"/>
  <c r="T18" i="1"/>
  <c r="F514" i="1"/>
  <c r="BD26" i="1"/>
  <c r="F396" i="1"/>
  <c r="BD457" i="1"/>
  <c r="AS26" i="1"/>
  <c r="AS457" i="1"/>
  <c r="F388" i="1"/>
  <c r="I14" i="5" l="1"/>
  <c r="AS22" i="1"/>
  <c r="F474" i="1"/>
  <c r="E16" i="2" s="1"/>
  <c r="AS493" i="1"/>
  <c r="AW22" i="1"/>
  <c r="F463" i="1"/>
  <c r="AW493" i="1"/>
  <c r="X22" i="1"/>
  <c r="F483" i="1"/>
  <c r="H580" i="5" s="1"/>
  <c r="X493" i="1"/>
  <c r="Y18" i="1"/>
  <c r="F520" i="1"/>
  <c r="AY18" i="1"/>
  <c r="F501" i="1"/>
  <c r="F403" i="1"/>
  <c r="F404" i="1" s="1"/>
  <c r="R18" i="1"/>
  <c r="F507" i="1"/>
  <c r="AR22" i="1"/>
  <c r="AR493" i="1"/>
  <c r="F485" i="1"/>
  <c r="F486" i="1" s="1"/>
  <c r="H582" i="5" s="1"/>
  <c r="O22" i="1"/>
  <c r="F459" i="1"/>
  <c r="O493" i="1"/>
  <c r="AV22" i="1"/>
  <c r="AV493" i="1"/>
  <c r="F462" i="1"/>
  <c r="BD22" i="1"/>
  <c r="BD493" i="1"/>
  <c r="F482" i="1"/>
  <c r="S18" i="1"/>
  <c r="F508" i="1"/>
  <c r="I15" i="5" l="1"/>
  <c r="F487" i="1"/>
  <c r="H583" i="5" s="1"/>
  <c r="X18" i="1"/>
  <c r="F519" i="1"/>
  <c r="AV18" i="1"/>
  <c r="F498" i="1"/>
  <c r="AS18" i="1"/>
  <c r="F510" i="1"/>
  <c r="BD18" i="1"/>
  <c r="F518" i="1"/>
  <c r="O18" i="1"/>
  <c r="F495" i="1"/>
  <c r="AR18" i="1"/>
  <c r="F521" i="1"/>
  <c r="F405" i="1"/>
  <c r="F406" i="1"/>
  <c r="AW18" i="1"/>
  <c r="F499" i="1"/>
  <c r="I16" i="2"/>
  <c r="I18" i="2" s="1"/>
  <c r="E18" i="2"/>
  <c r="F488" i="1" l="1"/>
  <c r="H584" i="5" s="1"/>
  <c r="I13" i="5" s="1"/>
</calcChain>
</file>

<file path=xl/sharedStrings.xml><?xml version="1.0" encoding="utf-8"?>
<sst xmlns="http://schemas.openxmlformats.org/spreadsheetml/2006/main" count="7898" uniqueCount="734">
  <si>
    <t>Smeta.RU  (495) 974-1589</t>
  </si>
  <si>
    <t>_PS_</t>
  </si>
  <si>
    <t>Smeta.RU</t>
  </si>
  <si>
    <t/>
  </si>
  <si>
    <t>Новый объект_(Копия)_(Копия)</t>
  </si>
  <si>
    <t>4.  №14а по ул. Черняховского</t>
  </si>
  <si>
    <t>Сметные нормы списания</t>
  </si>
  <si>
    <t>Коды ценников</t>
  </si>
  <si>
    <t>ТР для Версии 10: Центральные регионы (с уч. п-ма 2536-ИП/12/ГС от 27.11.12, 01/57049-ЮЛ от 27.04.2018) от 14.03.2019 г</t>
  </si>
  <si>
    <t>ТСНБ-2001 Смоленской области (редакция 2014 г)</t>
  </si>
  <si>
    <t>Новая локальная смета</t>
  </si>
  <si>
    <t>*1,25</t>
  </si>
  <si>
    <t>*1,15</t>
  </si>
  <si>
    <t>Новый раздел</t>
  </si>
  <si>
    <t>1.  ул. Черняховского, д.14А</t>
  </si>
  <si>
    <t>Новый подраздел</t>
  </si>
  <si>
    <t>Расчистка территории</t>
  </si>
  <si>
    <t>1</t>
  </si>
  <si>
    <t>68-3-3</t>
  </si>
  <si>
    <t>Валка деревьев в городских условиях: (ель, пихта, береза, лиственница, ольха) диаметром до 300 мм</t>
  </si>
  <si>
    <t>1 складочный м3 кряжей</t>
  </si>
  <si>
    <t>ТЕР Смоленской обл.,68-3-3 Пр. Минстроя России от 13.03.2015 № 171/пр</t>
  </si>
  <si>
    <t>Ремонтно-строительные работы</t>
  </si>
  <si>
    <t>Благоустройство</t>
  </si>
  <si>
    <t>рФЕР-68</t>
  </si>
  <si>
    <t>2</t>
  </si>
  <si>
    <t>01-02-111-4</t>
  </si>
  <si>
    <t>Корчевка вручную пней диаметром: от 260 до 300 мм</t>
  </si>
  <si>
    <t>100 пней</t>
  </si>
  <si>
    <t>ТЕР Смоленской обл.,01-02-111-4 Пр. Минстроя России от 13.03.2015 № 171/пр</t>
  </si>
  <si>
    <t>Общестроительные работы</t>
  </si>
  <si>
    <t>Земляные работы по другим видам работ ( подготовительные, сопутствующие, укрепительные )</t>
  </si>
  <si>
    <t>ФЕР-01</t>
  </si>
  <si>
    <t>*0,85</t>
  </si>
  <si>
    <t>3</t>
  </si>
  <si>
    <t>пг01-01-01-008</t>
  </si>
  <si>
    <t>Погрузочные работы при автомобильных перевозках: леса пиленого, погонажа плотничный, шпал</t>
  </si>
  <si>
    <t>1 Т ГРУЗА</t>
  </si>
  <si>
    <t>ТЕР Смоленской обл.,пг01-01-01-008 Пр. Минстроя России от 13.03.2015 № 171/пр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</si>
  <si>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</si>
  <si>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</si>
  <si>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</si>
  <si>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4</t>
  </si>
  <si>
    <t>пг03-21-01-030</t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</si>
  <si>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</si>
  <si>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ТЕР Смоленской обл.,пг03-21-01-030 Пр. Минстроя России от 13.03.2015 № 171/пр</t>
  </si>
  <si>
    <t>Перевозка грузов авто/транспортом</t>
  </si>
  <si>
    <t>Перевозка грузов. Автомобильные перевозки  ( 2003 г., ч.1;  ФССЦпр-2011-изм. № 4-6 , раздел 3; )</t>
  </si>
  <si>
    <t>ФССЦ а/п (2003/2011 изм. 4-6)</t>
  </si>
  <si>
    <t>5</t>
  </si>
  <si>
    <t>69-19-1</t>
  </si>
  <si>
    <t>Разборка горизонтальных поверхностей бетонных конструкций при помощи отбойных молотков, бетон марки: 100 (бетонное основание скамеек)</t>
  </si>
  <si>
    <t>1 м3 бетона</t>
  </si>
  <si>
    <t>ТЕР Смоленской обл.,69-19-1 Пр. Минстроя России от 13.03.2015 № 171/пр</t>
  </si>
  <si>
    <t>Прочие ремонтно-строительные работы</t>
  </si>
  <si>
    <t>рФЕР-69</t>
  </si>
  <si>
    <t>6</t>
  </si>
  <si>
    <t>01-01-013-8</t>
  </si>
  <si>
    <t>Разработка грунта с погрузкой на автомобили-самосвалы экскаваторами с ковшом вместимостью: 0,65 (0,5-1) м3, группа грунтов 2</t>
  </si>
  <si>
    <t>1000 м3 грунта</t>
  </si>
  <si>
    <t>ТЕР Смоленской обл.,01-01-013-8 Пр. Минстроя России от 13.03.2015 № 171/пр</t>
  </si>
  <si>
    <t>)*1,25</t>
  </si>
  <si>
    <t>)*1,15</t>
  </si>
  <si>
    <t>Земляные работы, выполняемые  механизированным способом</t>
  </si>
  <si>
    <t>7</t>
  </si>
  <si>
    <t>пг03-21-01-005</t>
  </si>
  <si>
    <t>Перевозка грузов автомобилями-самосвалами грузоподъемностью 10 т, работающих вне карьера, на расстояние: до 5 км I класс груза</t>
  </si>
  <si>
    <t>ТЕР Смоленской обл.,пг03-21-01-005 Пр. Минстроя России от 13.03.2015 № 171/пр</t>
  </si>
  <si>
    <t>8</t>
  </si>
  <si>
    <t>27-03-011-2</t>
  </si>
  <si>
    <t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толщина: до 10 см</t>
  </si>
  <si>
    <t>100 М2 АСФАЛЬТОБЕТОННОГО ПОКРЫТИЯ</t>
  </si>
  <si>
    <t>ТЕР Смоленской обл.,27-03-011-2 Пр. Минстроя России от 13.03.2015 № 171/пр</t>
  </si>
  <si>
    <t>Автомобильные дороги</t>
  </si>
  <si>
    <t>ФЕР-27</t>
  </si>
  <si>
    <t>9</t>
  </si>
  <si>
    <t>68-14-1</t>
  </si>
  <si>
    <t>Разборка бортовых камней: на бетонном основании</t>
  </si>
  <si>
    <t>100 м</t>
  </si>
  <si>
    <t>ТЕР Смоленской обл.,68-14-1 Пр. Минстроя России от 13.03.2015 № 171/пр</t>
  </si>
  <si>
    <t>10</t>
  </si>
  <si>
    <t>пг01-01-01-043</t>
  </si>
  <si>
    <t>Погрузочные работы при автомобильных перевозках: мусора строительного с погрузкой экскаваторами емкостью ковша до 0,5 м3</t>
  </si>
  <si>
    <t>ТЕР Смоленской обл.,пг01-01-01-043 Пр. Минстроя России от 13.03.2015 № 171/пр</t>
  </si>
  <si>
    <t>11</t>
  </si>
  <si>
    <t>пг03-21-01-008</t>
  </si>
  <si>
    <t>Перевозка грузов автомобилями-самосвалами грузоподъемностью 10 т, работающих вне карьера, на расстояние: до 8 км I класс груза</t>
  </si>
  <si>
    <t>ТЕР Смоленской обл.,пг03-21-01-008 Пр. Минстроя России от 13.03.2015 № 171/пр</t>
  </si>
  <si>
    <t>12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</si>
  <si>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</si>
  <si>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</si>
  <si>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</si>
  <si>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</si>
  <si>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</si>
  <si>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</si>
  <si>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</si>
  <si>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</si>
  <si>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</si>
  <si>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</si>
  <si>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</si>
  <si>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</si>
  <si>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</si>
  <si>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</si>
  <si>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</si>
  <si>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</si>
  <si>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</si>
  <si>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</si>
  <si>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</si>
  <si>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</si>
  <si>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</si>
  <si>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</si>
  <si>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</si>
  <si>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</si>
  <si>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</si>
  <si>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</si>
  <si>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</si>
  <si>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</si>
  <si>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</si>
  <si>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</si>
  <si>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</si>
  <si>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</si>
  <si>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</si>
  <si>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</si>
  <si>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</si>
  <si>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</si>
  <si>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</si>
  <si>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</si>
  <si>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</si>
  <si>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</si>
  <si>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</si>
  <si>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</si>
  <si>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</si>
  <si>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</si>
  <si>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</si>
  <si>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</si>
  <si>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</si>
  <si>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</si>
  <si>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</si>
  <si>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</si>
  <si>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</si>
  <si>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</si>
  <si>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</si>
  <si>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</si>
  <si>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Дворовой проезд</t>
  </si>
  <si>
    <t>Асфальт S=2881,3м2</t>
  </si>
  <si>
    <t>13</t>
  </si>
  <si>
    <t>27-04-001-1</t>
  </si>
  <si>
    <t>Устройство подстилающих и выравнивающих слоев оснований: из песка</t>
  </si>
  <si>
    <t>100 м3 материала основания (в плотном теле)</t>
  </si>
  <si>
    <t>ТЕР Смоленской обл.,27-04-001-1 Пр. Минстроя России от 13.03.2015 № 171/пр</t>
  </si>
  <si>
    <t>13,1</t>
  </si>
  <si>
    <t>408-0122</t>
  </si>
  <si>
    <t>Песок природный для строительных работ средний</t>
  </si>
  <si>
    <t>м3</t>
  </si>
  <si>
    <t>ТССЦ Смоленской обл.,408-0122 Пр. Минстроя России от 13.03.2015 № 171/пр</t>
  </si>
  <si>
    <t>14</t>
  </si>
  <si>
    <t>27-04-001-4</t>
  </si>
  <si>
    <t>Устройство подстилающих и выравнивающих слоев оснований: из щебня</t>
  </si>
  <si>
    <t>ТЕР Смоленской обл.,27-04-001-4 Пр. Минстроя России от 13.03.2015 № 171/пр</t>
  </si>
  <si>
    <t>14,1</t>
  </si>
  <si>
    <t>408-0057</t>
  </si>
  <si>
    <t>Щебень из природного камня для строительных работ марка 600, фракция 5 (3)-20 мм</t>
  </si>
  <si>
    <t>ТССЦ Смоленской обл.,408-0057 Пр. Минстроя России от 13.03.2015 № 171/пр</t>
  </si>
  <si>
    <t>15</t>
  </si>
  <si>
    <t>Устройство подстилающих и выравнивающих слоев оснований: из асфальтогранулята</t>
  </si>
  <si>
    <t>16</t>
  </si>
  <si>
    <t>27-06-026-1</t>
  </si>
  <si>
    <t>Розлив вяжущих материалов</t>
  </si>
  <si>
    <t>1 Т</t>
  </si>
  <si>
    <t>ТЕР Смоленской обл.,27-06-026-1 Пр. Минстроя России от 13.03.2015 № 171/пр</t>
  </si>
  <si>
    <t>17</t>
  </si>
  <si>
    <t>27-06-020-8</t>
  </si>
  <si>
    <t>Устройство покрытия толщиной 4 см (5см)  из горячих асфальтобетонных смесей пористых мелкозернистых, плотность каменных материалов: 2,5-2,9 т/м3</t>
  </si>
  <si>
    <t>1000 м2 покрытия</t>
  </si>
  <si>
    <t>ТЕР Смоленской обл.,27-06-020-8 Пр. Минстроя России от 13.03.2015 № 171/пр</t>
  </si>
  <si>
    <t>18</t>
  </si>
  <si>
    <t>27-06-021-8</t>
  </si>
  <si>
    <t>На каждые 0,5 см изменения толщины покрытия добавлять или исключать: к расценке 27-06-020-08</t>
  </si>
  <si>
    <t>ТЕР Смоленской обл.,27-06-021-8 Пр. Минстроя России от 13.03.2015 № 171/пр</t>
  </si>
  <si>
    <t>*2</t>
  </si>
  <si>
    <t>*1,25)*2</t>
  </si>
  <si>
    <t>*1,15)*2</t>
  </si>
  <si>
    <t>19</t>
  </si>
  <si>
    <t>20</t>
  </si>
  <si>
    <t>27-06-020-1</t>
  </si>
  <si>
    <t>Устройство покрытия толщиной 4 см (5см ) из горячих асфальтобетонных смесей плотных мелкозернистых типа АБВ, плотность каменных материалов: 2,5-2,9 т/м3</t>
  </si>
  <si>
    <t>ТЕР Смоленской обл.,27-06-020-1 Пр. Минстроя России от 13.03.2015 № 171/пр</t>
  </si>
  <si>
    <t>20,1</t>
  </si>
  <si>
    <t>410-0005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</si>
  <si>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</si>
  <si>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т</t>
  </si>
  <si>
    <t>ТССЦ Смоленской обл.,410-0005 Пр. Минстроя России от 13.03.2015 № 171/пр</t>
  </si>
  <si>
    <t>20,2</t>
  </si>
  <si>
    <t>410-0007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</si>
  <si>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t>
  </si>
  <si>
    <t>ТССЦ Смоленской обл.,410-0007 Пр. Минстроя России от 13.03.2015 № 171/пр</t>
  </si>
  <si>
    <t>21</t>
  </si>
  <si>
    <t>27-06-021-1</t>
  </si>
  <si>
    <t>На каждые 0,5 см изменения толщины покрытия добавлять или исключать: к расценке 27-06-020-01</t>
  </si>
  <si>
    <t>ТЕР Смоленской обл.,27-06-021-1 Пр. Минстроя России от 13.03.2015 № 171/пр</t>
  </si>
  <si>
    <t>)*2</t>
  </si>
  <si>
    <t>21,1</t>
  </si>
  <si>
    <t>21,2</t>
  </si>
  <si>
    <t>Установка бортовых камней БК 100.30.15 - 431м</t>
  </si>
  <si>
    <t>22</t>
  </si>
  <si>
    <t>01-02-057-2</t>
  </si>
  <si>
    <t>Разработка грунта вручную в траншеях глубиной до 2 м без креплений с откосами, группа грунтов: 2</t>
  </si>
  <si>
    <t>100 м3 грунта</t>
  </si>
  <si>
    <t>ТЕР Смоленской обл.,01-02-057-2 Пр. Минстроя России от 13.03.2015 № 171/пр</t>
  </si>
  <si>
    <t>Земляные работы, выполняемые  ручным способом</t>
  </si>
  <si>
    <t>23</t>
  </si>
  <si>
    <t>23,1</t>
  </si>
  <si>
    <t>24</t>
  </si>
  <si>
    <t>27-02-010-2</t>
  </si>
  <si>
    <t>Установка бортовых камней бетонных: при других видах покрытий</t>
  </si>
  <si>
    <t>100 м бортового камня</t>
  </si>
  <si>
    <t>ТЕР Смоленской обл.,27-02-010-2 Пр. Минстроя России от 13.03.2015 № 171/пр</t>
  </si>
  <si>
    <t>24,1</t>
  </si>
  <si>
    <t>403-8021</t>
  </si>
  <si>
    <t>Камни бортовые БР 100.30.15 /бетон В30 (М400), объем 0,043 м3/ (ГОСТ 6665-91)</t>
  </si>
  <si>
    <t>шт.</t>
  </si>
  <si>
    <t>ТССЦ Смоленской обл.,403-8021 Пр. Минстроя России от 13.03.2015 № 171/пр</t>
  </si>
  <si>
    <t>25</t>
  </si>
  <si>
    <t>01-02-061-1</t>
  </si>
  <si>
    <t>Засыпка вручную траншей, пазух котлованов и ям, группа грунтов: 1</t>
  </si>
  <si>
    <t>ТЕР Смоленской обл.,01-02-061-1 Пр. Минстроя России от 13.03.2015 № 171/пр</t>
  </si>
  <si>
    <t>26</t>
  </si>
  <si>
    <t>пг01-01-01-039</t>
  </si>
  <si>
    <t>Погрузочные работы при автомобильных перевозках: грунта растительного слоя (земля, перегной)</t>
  </si>
  <si>
    <t>ТЕР Смоленской обл.,пг01-01-01-039 Пр. Минстроя России от 13.03.2015 № 171/пр</t>
  </si>
  <si>
    <t>27</t>
  </si>
  <si>
    <t>Установка бортовых камней БК 100.20.8 -365,4м</t>
  </si>
  <si>
    <t>28</t>
  </si>
  <si>
    <t>29</t>
  </si>
  <si>
    <t>29,1</t>
  </si>
  <si>
    <t>30</t>
  </si>
  <si>
    <t>30,1</t>
  </si>
  <si>
    <t>403-8023</t>
  </si>
  <si>
    <t>Камни бортовые БР 100.20.8 /бетон В22,5 (М300), объем 0,016 м3/ (ГОСТ 6665-91)</t>
  </si>
  <si>
    <t>ТССЦ Смоленской обл.,403-8023 Пр. Минстроя России от 13.03.2015 № 171/пр</t>
  </si>
  <si>
    <t>30,2</t>
  </si>
  <si>
    <t>401-0006</t>
  </si>
  <si>
    <t>Бетон тяжелый, класс В15 (М200)</t>
  </si>
  <si>
    <t>ТССЦ Смоленской обл.,401-0006 Пр. Минстроя России от 13.03.2015 № 171/пр</t>
  </si>
  <si>
    <t>30,3</t>
  </si>
  <si>
    <t>30,4</t>
  </si>
  <si>
    <t>402-0004</t>
  </si>
  <si>
    <t>Раствор готовый кладочный цементный марки 100</t>
  </si>
  <si>
    <t>ТССЦ Смоленской обл.,402-0004 Пр. Минстроя России от 13.03.2015 № 171/пр</t>
  </si>
  <si>
    <t>30,5</t>
  </si>
  <si>
    <t>31</t>
  </si>
  <si>
    <t>32</t>
  </si>
  <si>
    <t>33</t>
  </si>
  <si>
    <t>Устройство тротуаров и пешеходных дорожек из брусчатки</t>
  </si>
  <si>
    <t>34</t>
  </si>
  <si>
    <t>34,1</t>
  </si>
  <si>
    <t>35</t>
  </si>
  <si>
    <t>35,1</t>
  </si>
  <si>
    <t>36</t>
  </si>
  <si>
    <t>27-04-016-4</t>
  </si>
  <si>
    <t>Устройство прослойки из нетканого синтетического материала (НСМ) в земляном полотне: сплошной</t>
  </si>
  <si>
    <t>1000 м2 поверхности</t>
  </si>
  <si>
    <t>ТЕР Смоленской обл.,27-04-016-4 Пр. Минстроя России от 13.03.2015 № 171/пр</t>
  </si>
  <si>
    <t>36,1</t>
  </si>
  <si>
    <t>101-7239</t>
  </si>
  <si>
    <t>Нетканый геотекстиль Геотекс 150</t>
  </si>
  <si>
    <t>м2</t>
  </si>
  <si>
    <t>ТССЦ Смоленской обл.,101-7239 Пр. Минстроя России от 13.03.2015 № 171/пр</t>
  </si>
  <si>
    <t>37</t>
  </si>
  <si>
    <t>27-07-003-2</t>
  </si>
  <si>
    <t>Устройство бетонных плитных тротуаров с заполнением швов: песком</t>
  </si>
  <si>
    <t>100 м2 тротуара</t>
  </si>
  <si>
    <t>ТЕР Смоленской обл.,27-07-003-2 Пр. Минстроя России от 13.03.2015 № 171/пр</t>
  </si>
  <si>
    <t>37,1</t>
  </si>
  <si>
    <t>403-0104</t>
  </si>
  <si>
    <t>Плиты бетонные и цементно-песчаные для тротуаров, полов и облицовки, марки 300, толщина 35 мм</t>
  </si>
  <si>
    <t>ТССЦ Смоленской обл.,403-0104 Пр. Минстроя России от 13.03.2015 № 171/пр</t>
  </si>
  <si>
    <t>37,2</t>
  </si>
  <si>
    <t>403-8719</t>
  </si>
  <si>
    <t>Плитка тротуарная декоративная (брусчатка) , толщина 60 мм, серая</t>
  </si>
  <si>
    <t>ТССЦ Смоленской обл.,403-8719 Пр. Минстроя России от 13.03.2015 № 171/пр</t>
  </si>
  <si>
    <t>Установка урн</t>
  </si>
  <si>
    <t>38</t>
  </si>
  <si>
    <t>01-02-058-2</t>
  </si>
  <si>
    <t>Копание ям вручную без креплений для стоек и столбов: без откосов глубиной до 0,7 м, группа грунтов 2</t>
  </si>
  <si>
    <t>ТЕР Смоленской обл.,01-02-058-2 Пр. Минстроя России от 13.03.2015 № 171/пр</t>
  </si>
  <si>
    <t>39</t>
  </si>
  <si>
    <t>Прайс-лист</t>
  </si>
  <si>
    <t>ШТ</t>
  </si>
  <si>
    <t>Материалы строительные</t>
  </si>
  <si>
    <t>Материалы, изделия и конструкции</t>
  </si>
  <si>
    <t>материалы (03)</t>
  </si>
  <si>
    <t>[7 000 / 1,2 /  8,21] +  2% Трансп</t>
  </si>
  <si>
    <t>40</t>
  </si>
  <si>
    <t>06-01-001-1</t>
  </si>
  <si>
    <t>Устройство бетонной подготовки</t>
  </si>
  <si>
    <t>100 м3 бетона, бутобетона и железобетона в деле</t>
  </si>
  <si>
    <t>ТЕР Смоленской обл.,06-01-001-1 Пр. Минстроя России от 13.03.2015 № 171/пр</t>
  </si>
  <si>
    <t>Монолитные бетонные и железобетонные конструкции в промышленном строительстве</t>
  </si>
  <si>
    <t>ФЕР-06</t>
  </si>
  <si>
    <t>41</t>
  </si>
  <si>
    <t>Установка скамеек</t>
  </si>
  <si>
    <t>42</t>
  </si>
  <si>
    <t>43</t>
  </si>
  <si>
    <t>[10 000 / 1,2 /  8,21] +  2% Трансп</t>
  </si>
  <si>
    <t>44</t>
  </si>
  <si>
    <t>45</t>
  </si>
  <si>
    <t>Итог1</t>
  </si>
  <si>
    <t>Итого прямые затраты</t>
  </si>
  <si>
    <t>Итог2</t>
  </si>
  <si>
    <t>Итог3</t>
  </si>
  <si>
    <t>Итог6</t>
  </si>
  <si>
    <t>Итого</t>
  </si>
  <si>
    <t>Итого10</t>
  </si>
  <si>
    <t>Индекс на 4 квартал 2019 -7,51</t>
  </si>
  <si>
    <t>В</t>
  </si>
  <si>
    <t>НДС 20%</t>
  </si>
  <si>
    <t>авыф</t>
  </si>
  <si>
    <t>Всего по смете</t>
  </si>
  <si>
    <t>3. Контейнерная площадка S=23,22м2</t>
  </si>
  <si>
    <t>46</t>
  </si>
  <si>
    <t>68-12-4</t>
  </si>
  <si>
    <t>Разборка покрытий и оснований: асфальтобетонных с помощью молотков отбойных</t>
  </si>
  <si>
    <t>100 м3 конструкций</t>
  </si>
  <si>
    <t>ТЕР Смоленской обл.,68-12-4 Пр. Минстроя России от 13.03.2015 № 171/пр</t>
  </si>
  <si>
    <t>47</t>
  </si>
  <si>
    <t>48</t>
  </si>
  <si>
    <t>49</t>
  </si>
  <si>
    <t>06-01-001-15</t>
  </si>
  <si>
    <t>Устройство фундаментных плит бетонных плоских</t>
  </si>
  <si>
    <t>ТЕР Смоленской обл.,06-01-001-15 Пр. Минстроя России от 13.03.2015 № 171/пр</t>
  </si>
  <si>
    <t>50</t>
  </si>
  <si>
    <t>06-01-015-10</t>
  </si>
  <si>
    <t>Армирование подстилающих слоев и набетонок</t>
  </si>
  <si>
    <t>ТЕР Смоленской обл.,06-01-015-10 Пр. Минстроя России от 13.03.2015 № 171/пр</t>
  </si>
  <si>
    <t>51</t>
  </si>
  <si>
    <t>09-08-001-3</t>
  </si>
  <si>
    <t>Установка металлических столбов высотой до 4 м: на подготовленный бетонный фундамент</t>
  </si>
  <si>
    <t>100 столбов</t>
  </si>
  <si>
    <t>ТЕР Смоленской обл.,09-08-001-3 Пр. Минстроя России от 13.03.2015 № 171/пр</t>
  </si>
  <si>
    <t>Металлические конструкции</t>
  </si>
  <si>
    <t>ФЕР-09</t>
  </si>
  <si>
    <t>51,1</t>
  </si>
  <si>
    <t>101-1929</t>
  </si>
  <si>
    <t>Болты анкерные</t>
  </si>
  <si>
    <t>ТССЦ Смоленской обл.,101-1929 Пр. Минстроя России от 13.03.2015 № 171/пр</t>
  </si>
  <si>
    <t>51,2</t>
  </si>
  <si>
    <t>103-1485</t>
  </si>
  <si>
    <t>Трубы стальные квадратные (ГОСТ 8639-82) размером 40х40 мм, толщина стенки 3 мм</t>
  </si>
  <si>
    <t>м</t>
  </si>
  <si>
    <t>ТССЦ Смоленской обл.,103-1485 Пр. Минстроя России от 13.03.2015 № 171/пр</t>
  </si>
  <si>
    <t>52</t>
  </si>
  <si>
    <t>09-08-002-5</t>
  </si>
  <si>
    <t>Устройство заграждений из готовых металлических решетчатых панелей: высотой до 2 м</t>
  </si>
  <si>
    <t>10 панелей</t>
  </si>
  <si>
    <t>ТЕР Смоленской обл.,09-08-002-5 Пр. Минстроя России от 13.03.2015 № 171/пр</t>
  </si>
  <si>
    <t>52,1</t>
  </si>
  <si>
    <t>103-1742</t>
  </si>
  <si>
    <t>Трубы стальные прямоугольные (ГОСТ 8645-86) размером 35х20 мм, толщина стенки 3 мм</t>
  </si>
  <si>
    <t>ТССЦ Смоленской обл.,103-1742 Пр. Минстроя России от 13.03.2015 № 171/пр</t>
  </si>
  <si>
    <t>52,2</t>
  </si>
  <si>
    <t>101-3034</t>
  </si>
  <si>
    <t>Профилированный настил окрашенный С21-1000-0,5</t>
  </si>
  <si>
    <t>ТССЦ Смоленской обл.,101-3034 Пр. Минстроя России от 13.03.2015 № 171/пр</t>
  </si>
  <si>
    <t>52,3</t>
  </si>
  <si>
    <t>101-5867</t>
  </si>
  <si>
    <t>Шурупы самосверлящие (саморезы) SL4-F (SFS) 4,8х16 мм</t>
  </si>
  <si>
    <t>10 шт.</t>
  </si>
  <si>
    <t>ТССЦ Смоленской обл.,101-5867 Пр. Минстроя России от 13.03.2015 № 171/пр</t>
  </si>
  <si>
    <t>53</t>
  </si>
  <si>
    <t>13-03-002-4</t>
  </si>
  <si>
    <t>Огрунтовка металлических поверхностей за один раз: грунтовкой ГФ-021</t>
  </si>
  <si>
    <t>100 м2 окрашиваемой поверхности</t>
  </si>
  <si>
    <t>ТЕР Смоленской обл.,13-03-002-4 Пр. Минстроя России от 13.03.2015 № 171/пр</t>
  </si>
  <si>
    <t>Защита строительных конструкций</t>
  </si>
  <si>
    <t>ФЕР-13</t>
  </si>
  <si>
    <t>54</t>
  </si>
  <si>
    <t>13-03-004-26</t>
  </si>
  <si>
    <t>Окраска металлических огрунтованных поверхностей: эмалью ПФ-115</t>
  </si>
  <si>
    <t>ТЕР Смоленской обл.,13-03-004-26 Пр. Минстроя России от 13.03.2015 № 171/пр</t>
  </si>
  <si>
    <t>Индекс на 3 квартал 2020г. -8,21</t>
  </si>
  <si>
    <t>Возврат материалов по акту комиссии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</si>
  <si>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</si>
  <si>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</si>
  <si>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</si>
  <si>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</si>
  <si>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</si>
  <si>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</si>
  <si>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</si>
  <si>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</si>
  <si>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</si>
  <si>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</si>
  <si>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</si>
  <si>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</si>
  <si>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</si>
  <si>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</si>
  <si>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</si>
  <si>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</si>
  <si>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</si>
  <si>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</si>
  <si>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</si>
  <si>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</si>
  <si>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</si>
  <si>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</si>
  <si>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</si>
  <si>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</si>
  <si>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</si>
  <si>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</si>
  <si>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</si>
  <si>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</si>
  <si>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</si>
  <si>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</si>
  <si>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</si>
  <si>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</si>
  <si>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</si>
  <si>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</si>
  <si>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</si>
  <si>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</si>
  <si>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</si>
  <si>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</si>
  <si>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</si>
  <si>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</si>
  <si>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</si>
  <si>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</si>
  <si>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</si>
  <si>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</si>
  <si>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</si>
  <si>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</si>
  <si>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</si>
  <si>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</si>
  <si>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</si>
  <si>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</si>
  <si>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</si>
  <si>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</si>
  <si>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</si>
  <si>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</si>
  <si>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</si>
  <si>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</si>
  <si>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</si>
  <si>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</si>
  <si>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</si>
  <si>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</si>
  <si>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</si>
  <si>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</si>
  <si>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_OBSM_</t>
  </si>
  <si>
    <t>1-1028-67</t>
  </si>
  <si>
    <t>Затраты труда рабочих (средний разряд работы 2,8)</t>
  </si>
  <si>
    <t>чел.ч</t>
  </si>
  <si>
    <t>ЧЕЛ.Ч</t>
  </si>
  <si>
    <t>331601</t>
  </si>
  <si>
    <t>ТСЭМ Смоленской обл.,331601 Пр. Минстроя России от 13.03.2015 № 171/пр</t>
  </si>
  <si>
    <t>Пила с карбюраторным двигателем</t>
  </si>
  <si>
    <t>маш.час</t>
  </si>
  <si>
    <t>1-1020-67</t>
  </si>
  <si>
    <t>Затраты труда рабочих (средний разряд работы 2,0)</t>
  </si>
  <si>
    <t>1-1030-67</t>
  </si>
  <si>
    <t>Затраты труда рабочих (средний разряд работы 3.0)</t>
  </si>
  <si>
    <t>050402</t>
  </si>
  <si>
    <t>ТСЭМ Смоленской обл.,050402 Пр. Минстроя России от 13.03.2015 № 171/пр</t>
  </si>
  <si>
    <t>Компрессоры передвижные с электродвигателем давлением 600 кПа (6 ат), производительность до 3,5 м3/мин</t>
  </si>
  <si>
    <t>330804</t>
  </si>
  <si>
    <t>ТСЭМ Смоленской обл.,330804 Пр. Минстроя России от 13.03.2015 № 171/пр</t>
  </si>
  <si>
    <t>Молотки при работе от передвижных компрессорных станций отбойные пневматические</t>
  </si>
  <si>
    <t>Затраты труда машинистов</t>
  </si>
  <si>
    <t>чел.час</t>
  </si>
  <si>
    <t>060248</t>
  </si>
  <si>
    <t>ТСЭМ Смоленской обл.,060248 Пр. Минстроя России от 13.03.2015 № 171/пр</t>
  </si>
  <si>
    <t>Экскаваторы одноковшовые дизельные на гусеничном ходу при работе на других видах строительства 0,65 м3</t>
  </si>
  <si>
    <t>070149</t>
  </si>
  <si>
    <t>ТСЭМ Смоленской обл.,070149 Пр. Минстроя России от 13.03.2015 № 171/пр</t>
  </si>
  <si>
    <t>Бульдозеры при работе на других видах строительства 79 кВт (108 л.с.)</t>
  </si>
  <si>
    <t>408-0015</t>
  </si>
  <si>
    <t>ТССЦ Смоленской обл.,408-0015 Пр. Минстроя России от 13.03.2015 № 171/пр</t>
  </si>
  <si>
    <t>Щебень из природного камня для строительных работ марка 800, фракция 20-40 мм</t>
  </si>
  <si>
    <t>1-1029-67</t>
  </si>
  <si>
    <t>Затраты труда рабочих (средний разряд работы 2,9)</t>
  </si>
  <si>
    <t>121550</t>
  </si>
  <si>
    <t>ТСЭМ Смоленской обл.,121550 Пр. Минстроя России от 13.03.2015 № 171/пр</t>
  </si>
  <si>
    <t>Машины дорожной службы (машина дорожного мастера)</t>
  </si>
  <si>
    <t>121601</t>
  </si>
  <si>
    <t>ТСЭМ Смоленской обл.,121601 Пр. Минстроя России от 13.03.2015 № 171/пр</t>
  </si>
  <si>
    <t>Машины поливомоечные 6000 л</t>
  </si>
  <si>
    <t>122204</t>
  </si>
  <si>
    <t>ТСЭМ Смоленской обл.,122204 Пр. Минстроя России от 13.03.2015 № 171/пр</t>
  </si>
  <si>
    <t>Фрезы самоходные дорожные типа "Wirtgen", "Dynapac", "Caterpillar", "Roadtec", "Terex", "Bitelli", "ABG", "Bomag" с шириной барабана от 1000 мм до 1300 мм</t>
  </si>
  <si>
    <t>400053</t>
  </si>
  <si>
    <t>ТСЭМ Смоленской обл.,400053 Пр. Минстроя России от 13.03.2015 № 171/пр</t>
  </si>
  <si>
    <t>Автомобиль-самосвал, грузоподъемность до 15 т</t>
  </si>
  <si>
    <t>411-0001</t>
  </si>
  <si>
    <t>ТССЦ Смоленской обл.,411-0001 Пр. Минстроя России от 13.03.2015 № 171/пр</t>
  </si>
  <si>
    <t>Вода</t>
  </si>
  <si>
    <t>1-1031-67</t>
  </si>
  <si>
    <t>Затраты труда рабочих (средний разряд работы 3,1)</t>
  </si>
  <si>
    <t>050101</t>
  </si>
  <si>
    <t>ТСЭМ Смоленской обл.,050101 Пр. Минстроя России от 13.03.2015 № 171/пр</t>
  </si>
  <si>
    <t>Компрессоры передвижные с двигателем внутреннего сгорания давлением до 686 кПа (7 ат), производительность до 5 м3/мин</t>
  </si>
  <si>
    <t>1-1023-67</t>
  </si>
  <si>
    <t>Затраты труда рабочих (средний разряд работы 2,3)</t>
  </si>
  <si>
    <t>030101</t>
  </si>
  <si>
    <t>ТСЭМ Смоленской обл.,030101 Пр. Минстроя России от 13.03.2015 № 171/пр</t>
  </si>
  <si>
    <t>Автопогрузчики 5 т</t>
  </si>
  <si>
    <t>120202</t>
  </si>
  <si>
    <t>ТСЭМ Смоленской обл.,120202 Пр. Минстроя России от 13.03.2015 № 171/пр</t>
  </si>
  <si>
    <t>Автогрейдеры среднего типа 99 кВт (135 л.с.)</t>
  </si>
  <si>
    <t>120911</t>
  </si>
  <si>
    <t>ТСЭМ Смоленской обл.,120911 Пр. Минстроя России от 13.03.2015 № 171/пр</t>
  </si>
  <si>
    <t>Катки на пневмоколесном ходу 30 т</t>
  </si>
  <si>
    <t>1-1024-67</t>
  </si>
  <si>
    <t>Затраты труда рабочих (средний разряд работы 2,4)</t>
  </si>
  <si>
    <t>120101</t>
  </si>
  <si>
    <t>ТСЭМ Смоленской обл.,120101 Пр. Минстроя России от 13.03.2015 № 171/пр</t>
  </si>
  <si>
    <t>Автогудронаторы 3500 л</t>
  </si>
  <si>
    <t>101-1561</t>
  </si>
  <si>
    <t>ТССЦ Смоленской обл.,101-1561 Пр. Минстроя России от 13.03.2015 № 171/пр</t>
  </si>
  <si>
    <t>Битумы нефтяные дорожные жидкие, класс МГ, СГ</t>
  </si>
  <si>
    <t>1-1040-67</t>
  </si>
  <si>
    <t>Затраты труда рабочих (средний разряд работы 4,0)</t>
  </si>
  <si>
    <t>021141</t>
  </si>
  <si>
    <t>ТСЭМ Смоленской обл.,021141 Пр. Минстроя России от 13.03.2015 № 171/пр</t>
  </si>
  <si>
    <t>Краны на автомобильном ходу при работе на других видах строительства 10 т</t>
  </si>
  <si>
    <t>120500</t>
  </si>
  <si>
    <t>ТСЭМ Смоленской обл.,120500 Пр. Минстроя России от 13.03.2015 № 171/пр</t>
  </si>
  <si>
    <t>Гудронаторы ручные</t>
  </si>
  <si>
    <t>120906</t>
  </si>
  <si>
    <t>ТСЭМ Смоленской обл.,120906 Пр. Минстроя России от 13.03.2015 № 171/пр</t>
  </si>
  <si>
    <t>Катки дорожные самоходные гладкие 8 т</t>
  </si>
  <si>
    <t>120907</t>
  </si>
  <si>
    <t>ТСЭМ Смоленской обл.,120907 Пр. Минстроя России от 13.03.2015 № 171/пр</t>
  </si>
  <si>
    <t>Катки дорожные самоходные гладкие 13 т</t>
  </si>
  <si>
    <t>122000</t>
  </si>
  <si>
    <t>ТСЭМ Смоленской обл.,122000 Пр. Минстроя России от 13.03.2015 № 171/пр</t>
  </si>
  <si>
    <t>Укладчики асфальтобетона</t>
  </si>
  <si>
    <t>400001</t>
  </si>
  <si>
    <t>ТСЭМ Смоленской обл.,400001 Пр. Минстроя России от 13.03.2015 № 171/пр</t>
  </si>
  <si>
    <t>Автомобили бортовые, грузоподъемность до 5 т</t>
  </si>
  <si>
    <t>101-0322</t>
  </si>
  <si>
    <t>ТССЦ Смоленской обл.,101-0322 Пр. Минстроя России от 13.03.2015 № 171/пр</t>
  </si>
  <si>
    <t>Керосин для технических целей марок КТ-1, КТ-2</t>
  </si>
  <si>
    <t>101-0782</t>
  </si>
  <si>
    <t>ТССЦ Смоленской обл.,101-0782 Пр. Минстроя России от 13.03.2015 № 171/пр</t>
  </si>
  <si>
    <t>Поковки из квадратных заготовок, масса 1,8 кг</t>
  </si>
  <si>
    <t>101-1556</t>
  </si>
  <si>
    <t>ТССЦ Смоленской обл.,101-1556 Пр. Минстроя России от 13.03.2015 № 171/пр</t>
  </si>
  <si>
    <t>Битумы нефтяные дорожные марки БНД-60/90, БНД 90/130</t>
  </si>
  <si>
    <t>102-0025</t>
  </si>
  <si>
    <t>ТССЦ Смоленской обл.,102-0025 Пр. Минстроя России от 13.03.2015 № 171/пр</t>
  </si>
  <si>
    <t>Бруски обрезные хвойных пород длиной 4-6,5 м, шириной 75-150 мм, толщиной 40-75 мм, III сорта</t>
  </si>
  <si>
    <t>410-0022</t>
  </si>
  <si>
    <t>ТССЦ Смоленской обл.,410-0022 Пр. Минстроя России от 13.03.2015 № 171/пр</t>
  </si>
  <si>
    <t>Асфальтобетонные смеси дорожные, аэродромные и асфальтобетон (горячие и теплые для пористого асфальтобетона щебеночные и гравийные), марка II</t>
  </si>
  <si>
    <t>101-1805</t>
  </si>
  <si>
    <t>ТССЦ Смоленской обл.,101-1805 Пр. Минстроя России от 13.03.2015 № 171/пр</t>
  </si>
  <si>
    <t>Гвозди строительные</t>
  </si>
  <si>
    <t>102-0038</t>
  </si>
  <si>
    <t>ТССЦ Смоленской обл.,102-0038 Пр. Минстроя России от 13.03.2015 № 171/пр</t>
  </si>
  <si>
    <t>Брусья необрезные хвойных пород длиной 4-6,5 м, все ширины, толщиной 100, 125 мм, IV сорта</t>
  </si>
  <si>
    <t>1-1015-67</t>
  </si>
  <si>
    <t>Затраты труда рабочих (средний разряд работы 1,5)</t>
  </si>
  <si>
    <t>*0,86</t>
  </si>
  <si>
    <t>*0,33</t>
  </si>
  <si>
    <t>1-1022-67</t>
  </si>
  <si>
    <t>Затраты труда рабочих (средний разряд работы 2,2)</t>
  </si>
  <si>
    <t>120910</t>
  </si>
  <si>
    <t>ТСЭМ Смоленской обл.,120910 Пр. Минстроя России от 13.03.2015 № 171/пр</t>
  </si>
  <si>
    <t>Катки на пневмоколесном ходу 16 т</t>
  </si>
  <si>
    <t>1-1025-67</t>
  </si>
  <si>
    <t>Затраты труда рабочих (средний разряд работы 2,5)</t>
  </si>
  <si>
    <t>122801</t>
  </si>
  <si>
    <t>ТСЭМ Смоленской обл.,122801 Пр. Минстроя России от 13.03.2015 № 171/пр</t>
  </si>
  <si>
    <t>Виброплита с двигателем внутреннего сгорания</t>
  </si>
  <si>
    <t>407-0028</t>
  </si>
  <si>
    <t>ТССЦ Смоленской обл.,407-0028 Пр. Минстроя России от 13.03.2015 № 171/пр</t>
  </si>
  <si>
    <t>Смесь пескоцементная (цемент М 400)</t>
  </si>
  <si>
    <t>020129</t>
  </si>
  <si>
    <t>ТСЭМ Смоленской обл.,020129 Пр. Минстроя России от 13.03.2015 № 171/пр</t>
  </si>
  <si>
    <t>Краны башенные при работе на других видах строительства 8 т</t>
  </si>
  <si>
    <t>111301</t>
  </si>
  <si>
    <t>ТСЭМ Смоленской обл.,111301 Пр. Минстроя России от 13.03.2015 № 171/пр</t>
  </si>
  <si>
    <t>Вибратор поверхностный</t>
  </si>
  <si>
    <t>101-1668</t>
  </si>
  <si>
    <t>ТССЦ Смоленской обл.,101-1668 Пр. Минстроя России от 13.03.2015 № 171/пр</t>
  </si>
  <si>
    <t>Рогожа</t>
  </si>
  <si>
    <t>401-0061</t>
  </si>
  <si>
    <t>ТССЦ Смоленской обл.,401-0061 Пр. Минстроя России от 13.03.2015 № 171/пр</t>
  </si>
  <si>
    <t>Бетон тяжелый, крупность заполнителя 20 мм, класс В3,5 (М50)</t>
  </si>
  <si>
    <t>1-1027-67</t>
  </si>
  <si>
    <t>Затраты труда рабочих (средний разряд работы 2,7)</t>
  </si>
  <si>
    <t>091400</t>
  </si>
  <si>
    <t>ТСЭМ Смоленской обл.,091400 Пр. Минстроя России от 13.03.2015 № 171/пр</t>
  </si>
  <si>
    <t>Рыхлители прицепные (без трактора)</t>
  </si>
  <si>
    <t>111100</t>
  </si>
  <si>
    <t>ТСЭМ Смоленской обл.,111100 Пр. Минстроя России от 13.03.2015 № 171/пр</t>
  </si>
  <si>
    <t>Вибратор глубинный</t>
  </si>
  <si>
    <t>331532</t>
  </si>
  <si>
    <t>ТСЭМ Смоленской обл.,331532 Пр. Минстроя России от 13.03.2015 № 171/пр</t>
  </si>
  <si>
    <t>Пила цепная электрическая</t>
  </si>
  <si>
    <t>102-0061</t>
  </si>
  <si>
    <t>ТССЦ Смоленской обл.,102-0061 Пр. Минстроя России от 13.03.2015 № 171/пр</t>
  </si>
  <si>
    <t>Доски обрезные хвойных пород длиной 4-6,5 м, шириной 75-150 мм, толщиной 44 мм и более, III сорта</t>
  </si>
  <si>
    <t>203-0512</t>
  </si>
  <si>
    <t>ТССЦ Смоленской обл.,203-0512 Пр. Минстроя России от 13.03.2015 № 171/пр</t>
  </si>
  <si>
    <t>Щиты из досок толщиной 40 мм</t>
  </si>
  <si>
    <t>401-0023</t>
  </si>
  <si>
    <t>ТССЦ Смоленской обл.,401-0023 Пр. Минстроя России от 13.03.2015 № 171/пр</t>
  </si>
  <si>
    <t>Бетон тяжелый, крупность заполнителя более 40 мм, класс В7,5 (М 100)</t>
  </si>
  <si>
    <t>405-0253</t>
  </si>
  <si>
    <t>ТССЦ Смоленской обл.,405-0253 Пр. Минстроя России от 13.03.2015 № 171/пр</t>
  </si>
  <si>
    <t>Известь строительная негашеная комовая, сорт I</t>
  </si>
  <si>
    <t>1-1033-67</t>
  </si>
  <si>
    <t>Затраты труда рабочих (средний разряд работы 3,3)</t>
  </si>
  <si>
    <t>101-0816</t>
  </si>
  <si>
    <t>ТССЦ Смоленской обл.,101-0816 Пр. Минстроя России от 13.03.2015 № 171/пр</t>
  </si>
  <si>
    <t>Проволока светлая диаметром 1,1 мм</t>
  </si>
  <si>
    <t>204-0100</t>
  </si>
  <si>
    <t>ТССЦ Смоленской обл.,204-0100 Пр. Минстроя России от 13.03.2015 № 171/пр</t>
  </si>
  <si>
    <t>Горячекатаная арматурная сталь класса А-I, А-II, А-III</t>
  </si>
  <si>
    <t>040101</t>
  </si>
  <si>
    <t>ТСЭМ Смоленской обл.,040101 Пр. Минстроя России от 13.03.2015 № 171/пр</t>
  </si>
  <si>
    <t>Электростанции передвижные 2 кВт</t>
  </si>
  <si>
    <t>331454</t>
  </si>
  <si>
    <t>ТСЭМ Смоленской обл.,331454 Пр. Минстроя России от 13.03.2015 № 171/пр</t>
  </si>
  <si>
    <t>Перфоратор электрический мощностью 1,5 кВт, энергией удара до 18 Дж</t>
  </si>
  <si>
    <t>350155</t>
  </si>
  <si>
    <t>ТСЭМ Смоленской обл.,350155 Пр. Минстроя России от 13.03.2015 № 171/пр</t>
  </si>
  <si>
    <t>Гайковерт электрический</t>
  </si>
  <si>
    <t>1-1047-67</t>
  </si>
  <si>
    <t>Затраты труда рабочих (средний разряд работы 4,7)</t>
  </si>
  <si>
    <t>030401</t>
  </si>
  <si>
    <t>ТСЭМ Смоленской обл.,030401 Пр. Минстроя России от 13.03.2015 № 171/пр</t>
  </si>
  <si>
    <t>Лебедки электрические тяговым усилием до 5,79 кН (0,59 т)</t>
  </si>
  <si>
    <t>340101</t>
  </si>
  <si>
    <t>ТСЭМ Смоленской обл.,340101 Пр. Минстроя России от 13.03.2015 № 171/пр</t>
  </si>
  <si>
    <t>Агрегаты окрасочные высокого давления для окраски поверхностей конструкций мощностью 1 кВт</t>
  </si>
  <si>
    <t>113-0021</t>
  </si>
  <si>
    <t>ТССЦ Смоленской обл.,113-0021 Пр. Минстроя России от 13.03.2015 № 171/пр</t>
  </si>
  <si>
    <t>Грунтовка ГФ-021 красно-коричневая</t>
  </si>
  <si>
    <t>113-0077</t>
  </si>
  <si>
    <t>ТССЦ Смоленской обл.,113-0077 Пр. Минстроя России от 13.03.2015 № 171/пр</t>
  </si>
  <si>
    <t>Ксилол нефтяной марки А</t>
  </si>
  <si>
    <t>1-1035-67</t>
  </si>
  <si>
    <t>Затраты труда рабочих (средний разряд работы 3,5)</t>
  </si>
  <si>
    <t>101-1292</t>
  </si>
  <si>
    <t>ТССЦ Смоленской обл.,101-1292 Пр. Минстроя России от 13.03.2015 № 171/пр</t>
  </si>
  <si>
    <t>Уайт-спирит</t>
  </si>
  <si>
    <t>113-0246</t>
  </si>
  <si>
    <t>ТССЦ Смоленской обл.,113-0246 Пр. Минстроя России от 13.03.2015 № 171/пр</t>
  </si>
  <si>
    <t>Эмаль ПФ-115 серая</t>
  </si>
  <si>
    <t>408-9040</t>
  </si>
  <si>
    <t>ТССЦ Смоленской обл.,408-9040 Пр. Минстроя России от 13.03.2015 № 171/пр</t>
  </si>
  <si>
    <t>Песок для строительных работ природный</t>
  </si>
  <si>
    <t>408-9080</t>
  </si>
  <si>
    <t>ТССЦ Смоленской обл.,408-9080 Пр. Минстроя России от 13.03.2015 № 171/пр</t>
  </si>
  <si>
    <t>Щебень</t>
  </si>
  <si>
    <t>413-9010</t>
  </si>
  <si>
    <t>ТССЦ Смоленской обл.,413-9010 Пр. Минстроя России от 13.03.2015 № 171/пр</t>
  </si>
  <si>
    <t>Камни бортовые</t>
  </si>
  <si>
    <t>101-0792</t>
  </si>
  <si>
    <t>ТССЦ Смоленской обл.,101-0792 Пр. Минстроя России от 13.03.2015 № 171/пр</t>
  </si>
  <si>
    <t>Полотно иглопробивное для дорожного строительства &lt;Дорнит-2&gt;</t>
  </si>
  <si>
    <t>10 м2</t>
  </si>
  <si>
    <t>101-9662</t>
  </si>
  <si>
    <t>ТССЦ Смоленской обл.,101-9662 Пр. Минстроя России от 13.03.2015 № 171/пр</t>
  </si>
  <si>
    <t>201-9212</t>
  </si>
  <si>
    <t>ТССЦ Смоленской обл.,201-9212 Пр. Минстроя России от 13.03.2015 № 171/пр</t>
  </si>
  <si>
    <t>Стойки металлические опорные</t>
  </si>
  <si>
    <t>101-9283</t>
  </si>
  <si>
    <t>ТССЦ Смоленской обл.,101-9283 Пр. Минстроя России от 13.03.2015 № 171/пр</t>
  </si>
  <si>
    <t>Детали крепления барьерных ограждений</t>
  </si>
  <si>
    <t>компл.</t>
  </si>
  <si>
    <t>201-9104</t>
  </si>
  <si>
    <t>ТССЦ Смоленской обл.,201-9104 Пр. Минстроя России от 13.03.2015 № 171/пр</t>
  </si>
  <si>
    <t>Панель металлическая решетчатая для барьерных ограждений</t>
  </si>
  <si>
    <t>Урна опрокидывающаяся   кованая    Габариты ящика: 300 х 300 х 400 мм   Ящик сварен из стали толщиной 1,5 мм,  фигурные стойки - из квадратной стали  10 х 10  мм,   упоры - из профильной трубы 25х25 мм.  Боковые стенки урны украшены декоративными элементами.  Металлокаркас окрашен краской по металлу  3в1 Hammerite.   Цвет  согласовывается с заказчиком.</t>
  </si>
  <si>
    <t>Диван парковый   1900х800х800   Длина: 1900 мм; ширина: 800 мм; высота: 800 мм.  Металлокаркас выполнен из профильной трубы  40х25 мм, уголка 40х40 мм, полосы 40 х 4 мм. Сиденье и спинка  из пиломатериала.   Металлокаркас окрашен грунт-эмалью "3 в 1".  Деревянные  элементы  покрыты "Акватексом".   Цвет  согласовывается с потребителем.  Диван  должен устанавливаться на ровную твердую поверхность.</t>
  </si>
  <si>
    <t xml:space="preserve">Наименование объекта:  </t>
  </si>
  <si>
    <t>Сметная стоимость</t>
  </si>
  <si>
    <t>тыс.руб</t>
  </si>
  <si>
    <t>Нормативная трудоемкость</t>
  </si>
  <si>
    <t>чел.-ч</t>
  </si>
  <si>
    <t>Сметная заработная плата</t>
  </si>
  <si>
    <t>№ п/п</t>
  </si>
  <si>
    <t>Шифр и № позиции норматива</t>
  </si>
  <si>
    <t>Наименование работ и затрат, единица измерения</t>
  </si>
  <si>
    <t>Кол-во</t>
  </si>
  <si>
    <t>Стоимость ед, руб.</t>
  </si>
  <si>
    <t>Общая стоимость, руб.</t>
  </si>
  <si>
    <t>Затраты труда рабочих, чел.-ч., не занятых обсл. Машин</t>
  </si>
  <si>
    <t>Экспл. Машин</t>
  </si>
  <si>
    <t>зар.платы</t>
  </si>
  <si>
    <t>Основной зар.платы</t>
  </si>
  <si>
    <t>в т.ч. Зарплаты</t>
  </si>
  <si>
    <t>обслуж. машины</t>
  </si>
  <si>
    <t>на един.</t>
  </si>
  <si>
    <t>всего</t>
  </si>
  <si>
    <t>Составлена в ценах Уровень цен</t>
  </si>
  <si>
    <t xml:space="preserve">% НР </t>
  </si>
  <si>
    <t xml:space="preserve">% СП </t>
  </si>
  <si>
    <t xml:space="preserve">Итого с НР и СП </t>
  </si>
  <si>
    <t xml:space="preserve">Эксплуатация машин </t>
  </si>
  <si>
    <t xml:space="preserve">Оплата труда машинистов </t>
  </si>
  <si>
    <t xml:space="preserve">Оплата труда рабочих </t>
  </si>
  <si>
    <t xml:space="preserve">Затраты труда рабочих </t>
  </si>
  <si>
    <t xml:space="preserve">Затраты труда машинистов </t>
  </si>
  <si>
    <t xml:space="preserve">Стоимость материалов </t>
  </si>
  <si>
    <t>Исключен
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</si>
  <si>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Исключен
Бетон тяжелый, класс В15 (М200)</t>
  </si>
  <si>
    <t>Исключен
Раствор готовый кладочный цементный марки 100</t>
  </si>
  <si>
    <t>Исключен
Плиты бетонные и цементно-песчаные для тротуаров, полов и облицовки, марки 300, толщина 35 мм</t>
  </si>
  <si>
    <r>
      <t>Урна опрокидывающаяся   кованая    Габариты ящика: 300 х 300 х 400 мм   Ящик сварен из стали толщиной 1,5 мм,  фигурные стойки - из квадратной стали  10 х 10  мм,   упоры - из профильной трубы 25х25 мм.  Боковые стенки урны украшены декоративными элементами.  Металлокаркас окрашен краской по металлу  3в1 Hammerite.   Цвет  согласовывается с заказчиком.</t>
    </r>
    <r>
      <rPr>
        <i/>
        <sz val="10"/>
        <rFont val="Arial"/>
        <family val="2"/>
        <charset val="204"/>
      </rPr>
      <t xml:space="preserve">
Базисная стоимость: 724,73 = [7 000 / 1,2 /  8,21] +  2% Трансп</t>
    </r>
  </si>
  <si>
    <r>
      <t>Диван парковый   1900х800х800   Длина: 1900 мм; ширина: 800 мм; высота: 800 мм.  Металлокаркас выполнен из профильной трубы  40х25 мм, уголка 40х40 мм, полосы 40 х 4 мм. Сиденье и спинка  из пиломатериала.   Металлокаркас окрашен грунт-эмалью "3 в 1".  Деревянные  элементы  покрыты "Акватексом".   Цвет  согласовывается с потребителем.  Диван  должен устанавливаться на ровную твердую поверхность.</t>
    </r>
    <r>
      <rPr>
        <i/>
        <sz val="10"/>
        <rFont val="Arial"/>
        <family val="2"/>
        <charset val="204"/>
      </rPr>
      <t xml:space="preserve">
Базисная стоимость: 1 035,32 = [10 000 / 1,2 /  8,21] +  2% Трансп</t>
    </r>
  </si>
  <si>
    <t xml:space="preserve">Составил    </t>
  </si>
  <si>
    <t>[должность,подпись(инициалы,фамилия)]</t>
  </si>
  <si>
    <t xml:space="preserve">Проверил    </t>
  </si>
  <si>
    <t>Наименование работ и затрат</t>
  </si>
  <si>
    <t>Единица измерения</t>
  </si>
  <si>
    <t>Количество</t>
  </si>
  <si>
    <t>Примечание</t>
  </si>
  <si>
    <t>Заказчик _________________</t>
  </si>
  <si>
    <t>Подрядчик _________________</t>
  </si>
  <si>
    <t>СОГЛАСОВАНО:</t>
  </si>
  <si>
    <t>УТВЕРЖДАЮ:</t>
  </si>
  <si>
    <t>Начальник Управления ЖКХ</t>
  </si>
  <si>
    <t>Администрации города Смоленска</t>
  </si>
  <si>
    <t>_______________</t>
  </si>
  <si>
    <t>________________ А.А. Глебов</t>
  </si>
  <si>
    <t>" _____ " ________________ 2020 г.</t>
  </si>
  <si>
    <t>"______ " _______________2020 г.</t>
  </si>
  <si>
    <t>Выполнение работ по благоустройству дворовых территорий в городе Смоленске в рамках реализации муниципальной программы "Формирование современной городской среды в городе Смоленске"</t>
  </si>
  <si>
    <t>(наименование стройки)</t>
  </si>
  <si>
    <t>ЛОКАЛЬНЫЙ СМЕТНЫЙ РАСЧЕТ №4</t>
  </si>
  <si>
    <t>Благоустройство дворовой территории в районе дома №14А по ул. Черняховского в г. Смоленске</t>
  </si>
  <si>
    <t>Благоустройство дворовой территории в районе домов №2 по ул. Пригородная, №28, 28а, 26 по ул. Кирова, в г. Смоленске</t>
  </si>
  <si>
    <t>Основание: дефектная ведомость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</si>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</sst>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\-\ #,##0.00"/>
    <numFmt numFmtId="165" formatCode="#,##0.0;[Red]\-\ #,##0.0"/>
    <numFmt numFmtId="166" formatCode="#,##0;[Red]\-\ #,##0"/>
  </numFmts>
  <fonts count="22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7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5" fillId="0" borderId="0" xfId="0" applyFont="1" applyBorder="1" applyAlignment="1">
      <alignment horizontal="right"/>
    </xf>
    <xf numFmtId="0" fontId="10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0" fillId="0" borderId="4" xfId="0" applyFont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wrapText="1"/>
    </xf>
    <xf numFmtId="0" fontId="10" fillId="0" borderId="4" xfId="0" applyFont="1" applyBorder="1" applyAlignment="1">
      <alignment horizontal="right" wrapText="1"/>
    </xf>
    <xf numFmtId="0" fontId="10" fillId="0" borderId="4" xfId="0" applyFont="1" applyBorder="1" applyAlignment="1">
      <alignment horizontal="right"/>
    </xf>
    <xf numFmtId="0" fontId="15" fillId="0" borderId="0" xfId="0" applyFont="1"/>
    <xf numFmtId="0" fontId="12" fillId="0" borderId="0" xfId="0" applyFont="1" applyAlignment="1">
      <alignment horizontal="left" wrapText="1"/>
    </xf>
    <xf numFmtId="0" fontId="18" fillId="0" borderId="0" xfId="1" applyFont="1" applyAlignment="1">
      <alignment horizontal="left" vertical="top"/>
    </xf>
    <xf numFmtId="0" fontId="17" fillId="0" borderId="0" xfId="1"/>
    <xf numFmtId="0" fontId="8" fillId="0" borderId="0" xfId="1" applyFont="1"/>
    <xf numFmtId="0" fontId="8" fillId="0" borderId="0" xfId="1" applyFont="1" applyAlignment="1">
      <alignment horizontal="left" vertical="top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left" vertical="top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top" wrapText="1"/>
    </xf>
    <xf numFmtId="49" fontId="19" fillId="0" borderId="0" xfId="1" applyNumberFormat="1" applyFont="1" applyBorder="1" applyAlignment="1">
      <alignment horizontal="right" vertical="top"/>
    </xf>
    <xf numFmtId="0" fontId="19" fillId="0" borderId="0" xfId="1" applyFont="1" applyBorder="1" applyAlignment="1">
      <alignment horizontal="right" vertical="top"/>
    </xf>
    <xf numFmtId="0" fontId="16" fillId="0" borderId="0" xfId="1" applyFont="1" applyBorder="1" applyAlignment="1">
      <alignment horizontal="center" vertical="top"/>
    </xf>
    <xf numFmtId="0" fontId="20" fillId="0" borderId="0" xfId="1" applyFont="1" applyBorder="1" applyAlignment="1">
      <alignment horizontal="right" vertical="top"/>
    </xf>
    <xf numFmtId="0" fontId="20" fillId="0" borderId="0" xfId="1" applyFont="1" applyBorder="1" applyAlignment="1">
      <alignment horizontal="center" vertical="top"/>
    </xf>
    <xf numFmtId="49" fontId="19" fillId="0" borderId="0" xfId="1" applyNumberFormat="1" applyFont="1"/>
    <xf numFmtId="0" fontId="19" fillId="0" borderId="0" xfId="1" applyFont="1" applyAlignment="1">
      <alignment horizontal="right" vertical="top"/>
    </xf>
    <xf numFmtId="0" fontId="21" fillId="0" borderId="0" xfId="1" applyFont="1" applyAlignment="1">
      <alignment horizontal="center" vertical="top"/>
    </xf>
    <xf numFmtId="0" fontId="18" fillId="0" borderId="0" xfId="0" applyFont="1"/>
    <xf numFmtId="0" fontId="0" fillId="0" borderId="5" xfId="0" applyBorder="1"/>
    <xf numFmtId="0" fontId="10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/>
    <xf numFmtId="165" fontId="10" fillId="0" borderId="5" xfId="0" applyNumberFormat="1" applyFont="1" applyBorder="1"/>
    <xf numFmtId="166" fontId="10" fillId="0" borderId="5" xfId="0" applyNumberFormat="1" applyFont="1" applyBorder="1"/>
    <xf numFmtId="164" fontId="10" fillId="0" borderId="5" xfId="0" applyNumberFormat="1" applyFont="1" applyBorder="1"/>
    <xf numFmtId="0" fontId="14" fillId="0" borderId="5" xfId="0" applyFont="1" applyBorder="1" applyAlignment="1">
      <alignment horizontal="right" wrapText="1"/>
    </xf>
    <xf numFmtId="0" fontId="8" fillId="0" borderId="5" xfId="0" applyFont="1" applyBorder="1"/>
    <xf numFmtId="0" fontId="8" fillId="0" borderId="5" xfId="0" applyFont="1" applyBorder="1" applyAlignment="1">
      <alignment horizontal="right" wrapText="1"/>
    </xf>
    <xf numFmtId="165" fontId="8" fillId="0" borderId="5" xfId="0" applyNumberFormat="1" applyFont="1" applyBorder="1" applyAlignment="1">
      <alignment horizontal="right" wrapText="1"/>
    </xf>
    <xf numFmtId="166" fontId="8" fillId="0" borderId="5" xfId="0" applyNumberFormat="1" applyFont="1" applyBorder="1" applyAlignment="1">
      <alignment horizontal="right" wrapText="1"/>
    </xf>
    <xf numFmtId="0" fontId="8" fillId="0" borderId="5" xfId="0" applyFont="1" applyBorder="1" applyAlignment="1">
      <alignment wrapText="1"/>
    </xf>
    <xf numFmtId="0" fontId="15" fillId="0" borderId="5" xfId="0" applyFont="1" applyBorder="1" applyAlignment="1">
      <alignment horizontal="right"/>
    </xf>
    <xf numFmtId="166" fontId="15" fillId="0" borderId="5" xfId="0" applyNumberFormat="1" applyFont="1" applyBorder="1" applyAlignment="1">
      <alignment horizontal="right"/>
    </xf>
    <xf numFmtId="164" fontId="15" fillId="0" borderId="5" xfId="0" applyNumberFormat="1" applyFont="1" applyBorder="1" applyAlignment="1">
      <alignment horizontal="right"/>
    </xf>
    <xf numFmtId="0" fontId="18" fillId="0" borderId="5" xfId="0" applyFont="1" applyBorder="1"/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3" fillId="0" borderId="5" xfId="0" applyFont="1" applyBorder="1" applyAlignment="1">
      <alignment horizontal="center" wrapText="1"/>
    </xf>
    <xf numFmtId="0" fontId="8" fillId="0" borderId="5" xfId="0" quotePrefix="1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166" fontId="10" fillId="0" borderId="5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8" fillId="0" borderId="1" xfId="1" applyFont="1" applyBorder="1" applyAlignment="1">
      <alignment horizontal="center" vertical="top" wrapText="1"/>
    </xf>
    <xf numFmtId="0" fontId="17" fillId="0" borderId="1" xfId="1" applyFont="1" applyBorder="1" applyAlignment="1">
      <alignment vertical="top" wrapText="1"/>
    </xf>
    <xf numFmtId="0" fontId="11" fillId="0" borderId="0" xfId="1" applyFont="1" applyAlignment="1">
      <alignment horizontal="center" vertical="top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4" fontId="10" fillId="0" borderId="5" xfId="0" applyNumberFormat="1" applyFont="1" applyBorder="1" applyAlignment="1">
      <alignment horizontal="right"/>
    </xf>
    <xf numFmtId="164" fontId="15" fillId="0" borderId="5" xfId="0" applyNumberFormat="1" applyFont="1" applyBorder="1" applyAlignment="1">
      <alignment horizontal="right"/>
    </xf>
    <xf numFmtId="0" fontId="13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B37889FF-51D6-49D5-9966-D3AF932D7D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C752A-1CFC-4E3D-BB64-B9A34DD0D1F6}">
  <sheetPr>
    <pageSetUpPr fitToPage="1"/>
  </sheetPr>
  <dimension ref="A1:AG595"/>
  <sheetViews>
    <sheetView tabSelected="1" zoomScaleNormal="100" workbookViewId="0">
      <selection activeCell="Q25" sqref="Q25"/>
    </sheetView>
  </sheetViews>
  <sheetFormatPr defaultRowHeight="12.75" x14ac:dyDescent="0.2"/>
  <cols>
    <col min="1" max="1" width="6.7109375" customWidth="1"/>
    <col min="2" max="2" width="15.7109375" customWidth="1"/>
    <col min="3" max="3" width="40.7109375" customWidth="1"/>
    <col min="4" max="11" width="12.7109375" customWidth="1"/>
    <col min="20" max="32" width="0" hidden="1" customWidth="1"/>
    <col min="33" max="33" width="76.7109375" hidden="1" customWidth="1"/>
    <col min="34" max="37" width="0" hidden="1" customWidth="1"/>
  </cols>
  <sheetData>
    <row r="1" spans="1:30" x14ac:dyDescent="0.2">
      <c r="A1" s="31" t="s">
        <v>719</v>
      </c>
      <c r="B1" s="32"/>
      <c r="C1" s="32"/>
      <c r="D1" s="32"/>
      <c r="E1" s="32"/>
      <c r="F1" s="32"/>
      <c r="G1" s="32"/>
      <c r="H1" s="31" t="s">
        <v>720</v>
      </c>
      <c r="I1" s="32"/>
      <c r="J1" s="33"/>
      <c r="K1" s="8"/>
      <c r="L1" s="8"/>
      <c r="M1" s="33"/>
      <c r="N1" s="33"/>
      <c r="O1" s="33"/>
    </row>
    <row r="2" spans="1:30" x14ac:dyDescent="0.2">
      <c r="A2" s="34"/>
      <c r="B2" s="32"/>
      <c r="C2" s="32"/>
      <c r="D2" s="32"/>
      <c r="E2" s="32"/>
      <c r="F2" s="32"/>
      <c r="G2" s="32"/>
      <c r="H2" s="35" t="s">
        <v>721</v>
      </c>
      <c r="I2" s="32"/>
      <c r="J2" s="33"/>
      <c r="M2" s="33"/>
      <c r="N2" s="33"/>
      <c r="O2" s="33"/>
    </row>
    <row r="3" spans="1:30" x14ac:dyDescent="0.2">
      <c r="A3" s="34"/>
      <c r="B3" s="32"/>
      <c r="C3" s="32"/>
      <c r="D3" s="32"/>
      <c r="E3" s="32"/>
      <c r="F3" s="32"/>
      <c r="G3" s="32"/>
      <c r="H3" s="35" t="s">
        <v>722</v>
      </c>
      <c r="I3" s="32"/>
      <c r="J3" s="33"/>
      <c r="M3" s="33"/>
      <c r="N3" s="33"/>
      <c r="O3" s="33"/>
    </row>
    <row r="4" spans="1:30" x14ac:dyDescent="0.2">
      <c r="A4" s="34" t="s">
        <v>723</v>
      </c>
      <c r="B4" s="32"/>
      <c r="C4" s="32"/>
      <c r="D4" s="32"/>
      <c r="E4" s="32"/>
      <c r="F4" s="32"/>
      <c r="G4" s="32"/>
      <c r="H4" s="35" t="s">
        <v>724</v>
      </c>
      <c r="I4" s="32"/>
      <c r="J4" s="33"/>
      <c r="M4" s="33"/>
      <c r="N4" s="33"/>
      <c r="O4" s="33"/>
    </row>
    <row r="5" spans="1:30" x14ac:dyDescent="0.2">
      <c r="A5" s="36" t="s">
        <v>725</v>
      </c>
      <c r="B5" s="32"/>
      <c r="C5" s="32"/>
      <c r="D5" s="32"/>
      <c r="E5" s="32"/>
      <c r="F5" s="32"/>
      <c r="G5" s="32"/>
      <c r="H5" s="37" t="s">
        <v>726</v>
      </c>
      <c r="I5" s="32"/>
      <c r="J5" s="33"/>
      <c r="M5" s="33"/>
      <c r="N5" s="33"/>
      <c r="O5" s="33"/>
    </row>
    <row r="6" spans="1:30" ht="34.5" customHeight="1" x14ac:dyDescent="0.2">
      <c r="A6" s="81" t="s">
        <v>727</v>
      </c>
      <c r="B6" s="82"/>
      <c r="C6" s="82"/>
      <c r="D6" s="82"/>
      <c r="E6" s="82"/>
      <c r="F6" s="82"/>
      <c r="G6" s="82"/>
      <c r="H6" s="82"/>
      <c r="I6" s="82"/>
      <c r="J6" s="82"/>
      <c r="K6" s="32"/>
      <c r="L6" s="33"/>
      <c r="M6" s="33"/>
      <c r="N6" s="33"/>
      <c r="O6" s="33"/>
    </row>
    <row r="7" spans="1:30" ht="18" customHeight="1" x14ac:dyDescent="0.2">
      <c r="A7" s="38"/>
      <c r="B7" s="39"/>
      <c r="C7" s="40"/>
      <c r="D7" s="41" t="s">
        <v>728</v>
      </c>
      <c r="E7" s="42"/>
      <c r="F7" s="43"/>
      <c r="G7" s="43"/>
      <c r="H7" s="40"/>
      <c r="I7" s="40"/>
      <c r="J7" s="40"/>
      <c r="K7" s="32"/>
      <c r="L7" s="33"/>
      <c r="M7" s="33"/>
      <c r="N7" s="33"/>
      <c r="O7" s="33"/>
    </row>
    <row r="8" spans="1:30" ht="23.25" customHeight="1" x14ac:dyDescent="0.2">
      <c r="A8" s="38"/>
      <c r="B8" s="44"/>
      <c r="C8" s="45"/>
      <c r="D8" s="45"/>
      <c r="E8" s="45"/>
      <c r="F8" s="32"/>
      <c r="G8" s="32"/>
      <c r="H8" s="32"/>
      <c r="I8" s="32"/>
      <c r="J8" s="32"/>
      <c r="K8" s="32"/>
      <c r="L8" s="33"/>
      <c r="M8" s="33"/>
      <c r="N8" s="33"/>
      <c r="O8" s="33"/>
    </row>
    <row r="9" spans="1:30" ht="18" customHeight="1" x14ac:dyDescent="0.2">
      <c r="A9" s="38"/>
      <c r="B9" s="44"/>
      <c r="C9" s="83" t="s">
        <v>729</v>
      </c>
      <c r="D9" s="83"/>
      <c r="E9" s="83"/>
      <c r="F9" s="83"/>
      <c r="G9" s="46"/>
      <c r="H9" s="46"/>
      <c r="I9" s="32"/>
      <c r="J9" s="32"/>
      <c r="K9" s="32"/>
      <c r="L9" s="33"/>
      <c r="M9" s="33"/>
      <c r="N9" s="33"/>
      <c r="O9" s="33"/>
    </row>
    <row r="10" spans="1:30" ht="21.75" customHeight="1" x14ac:dyDescent="0.25">
      <c r="A10" s="84" t="s">
        <v>674</v>
      </c>
      <c r="B10" s="84"/>
      <c r="C10" s="85" t="s">
        <v>730</v>
      </c>
      <c r="D10" s="85"/>
      <c r="E10" s="85"/>
      <c r="F10" s="85"/>
      <c r="G10" s="85"/>
      <c r="H10" s="85"/>
      <c r="I10" s="85"/>
      <c r="J10" s="85"/>
      <c r="K10" s="85"/>
      <c r="L10" s="9"/>
      <c r="M10" s="9"/>
      <c r="AD10" s="30" t="s">
        <v>731</v>
      </c>
    </row>
    <row r="11" spans="1:30" ht="14.25" customHeight="1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9"/>
      <c r="M11" s="9"/>
    </row>
    <row r="12" spans="1:30" ht="14.25" x14ac:dyDescent="0.2">
      <c r="A12" s="86" t="s">
        <v>732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9"/>
      <c r="M12" s="9"/>
    </row>
    <row r="13" spans="1:30" ht="14.25" x14ac:dyDescent="0.2">
      <c r="A13" s="65" t="s">
        <v>694</v>
      </c>
      <c r="B13" s="65"/>
      <c r="C13" s="65"/>
      <c r="D13" s="65"/>
      <c r="E13" s="65"/>
      <c r="F13" s="67" t="s">
        <v>675</v>
      </c>
      <c r="G13" s="67"/>
      <c r="H13" s="67"/>
      <c r="I13" s="68">
        <f>H584</f>
        <v>5401536.3399999999</v>
      </c>
      <c r="J13" s="69"/>
      <c r="K13" s="11" t="s">
        <v>733</v>
      </c>
      <c r="L13" s="9"/>
      <c r="M13" s="9"/>
    </row>
    <row r="14" spans="1:30" ht="14.25" x14ac:dyDescent="0.2">
      <c r="A14" s="65"/>
      <c r="B14" s="65"/>
      <c r="C14" s="65"/>
      <c r="D14" s="65"/>
      <c r="E14" s="65"/>
      <c r="F14" s="67" t="s">
        <v>677</v>
      </c>
      <c r="G14" s="67"/>
      <c r="H14" s="67"/>
      <c r="I14" s="68">
        <f>(Source!F515+Source!F516)</f>
        <v>2109.7969253499996</v>
      </c>
      <c r="J14" s="69"/>
      <c r="K14" s="11" t="s">
        <v>678</v>
      </c>
      <c r="L14" s="9"/>
      <c r="M14" s="9"/>
    </row>
    <row r="15" spans="1:30" ht="14.25" x14ac:dyDescent="0.2">
      <c r="A15" s="66"/>
      <c r="B15" s="66"/>
      <c r="C15" s="66"/>
      <c r="D15" s="66"/>
      <c r="E15" s="66"/>
      <c r="F15" s="70" t="s">
        <v>679</v>
      </c>
      <c r="G15" s="70"/>
      <c r="H15" s="70"/>
      <c r="I15" s="71">
        <f>(Source!F508+ Source!F507)/1000*8.21</f>
        <v>135.37469000000002</v>
      </c>
      <c r="J15" s="72"/>
      <c r="K15" s="11" t="s">
        <v>676</v>
      </c>
      <c r="L15" s="9"/>
      <c r="M15" s="9"/>
    </row>
    <row r="16" spans="1:30" ht="14.25" x14ac:dyDescent="0.2">
      <c r="A16" s="75" t="s">
        <v>680</v>
      </c>
      <c r="B16" s="75" t="s">
        <v>681</v>
      </c>
      <c r="C16" s="75" t="s">
        <v>682</v>
      </c>
      <c r="D16" s="75" t="s">
        <v>683</v>
      </c>
      <c r="E16" s="75" t="s">
        <v>684</v>
      </c>
      <c r="F16" s="75"/>
      <c r="G16" s="76" t="s">
        <v>685</v>
      </c>
      <c r="H16" s="76"/>
      <c r="I16" s="76"/>
      <c r="J16" s="75" t="s">
        <v>686</v>
      </c>
      <c r="K16" s="75"/>
      <c r="L16" s="9"/>
      <c r="M16" s="9"/>
    </row>
    <row r="17" spans="1:28" ht="20.100000000000001" customHeight="1" x14ac:dyDescent="0.2">
      <c r="A17" s="75"/>
      <c r="B17" s="75"/>
      <c r="C17" s="75"/>
      <c r="D17" s="75"/>
      <c r="E17" s="75" t="s">
        <v>141</v>
      </c>
      <c r="F17" s="75" t="s">
        <v>687</v>
      </c>
      <c r="G17" s="75" t="s">
        <v>141</v>
      </c>
      <c r="H17" s="75" t="s">
        <v>688</v>
      </c>
      <c r="I17" s="75" t="s">
        <v>687</v>
      </c>
      <c r="J17" s="75"/>
      <c r="K17" s="75"/>
      <c r="L17" s="9"/>
      <c r="M17" s="9"/>
    </row>
    <row r="18" spans="1:28" ht="14.25" x14ac:dyDescent="0.2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9"/>
      <c r="M18" s="9"/>
    </row>
    <row r="19" spans="1:28" ht="20.100000000000001" customHeight="1" x14ac:dyDescent="0.2">
      <c r="A19" s="75"/>
      <c r="B19" s="75"/>
      <c r="C19" s="75"/>
      <c r="D19" s="75"/>
      <c r="E19" s="75" t="s">
        <v>689</v>
      </c>
      <c r="F19" s="75" t="s">
        <v>690</v>
      </c>
      <c r="G19" s="75"/>
      <c r="H19" s="75"/>
      <c r="I19" s="75" t="s">
        <v>690</v>
      </c>
      <c r="J19" s="75" t="s">
        <v>691</v>
      </c>
      <c r="K19" s="75"/>
      <c r="L19" s="9"/>
      <c r="M19" s="9"/>
    </row>
    <row r="20" spans="1:28" ht="14.25" x14ac:dyDescent="0.2">
      <c r="A20" s="75"/>
      <c r="B20" s="75"/>
      <c r="C20" s="75"/>
      <c r="D20" s="75"/>
      <c r="E20" s="75"/>
      <c r="F20" s="75"/>
      <c r="G20" s="75"/>
      <c r="H20" s="75"/>
      <c r="I20" s="75"/>
      <c r="J20" s="12" t="s">
        <v>692</v>
      </c>
      <c r="K20" s="12" t="s">
        <v>693</v>
      </c>
      <c r="L20" s="9"/>
      <c r="M20" s="9"/>
    </row>
    <row r="21" spans="1:28" ht="14.25" x14ac:dyDescent="0.2">
      <c r="A21" s="17">
        <v>1</v>
      </c>
      <c r="B21" s="17">
        <v>2</v>
      </c>
      <c r="C21" s="17">
        <v>3</v>
      </c>
      <c r="D21" s="17">
        <v>4</v>
      </c>
      <c r="E21" s="17">
        <v>5</v>
      </c>
      <c r="F21" s="17">
        <v>6</v>
      </c>
      <c r="G21" s="17">
        <v>7</v>
      </c>
      <c r="H21" s="17">
        <v>8</v>
      </c>
      <c r="I21" s="17">
        <v>9</v>
      </c>
      <c r="J21" s="17">
        <v>10</v>
      </c>
      <c r="K21" s="17">
        <v>11</v>
      </c>
      <c r="L21" s="9"/>
      <c r="M21" s="9"/>
    </row>
    <row r="22" spans="1:28" x14ac:dyDescent="0.2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</row>
    <row r="23" spans="1:28" ht="16.5" x14ac:dyDescent="0.25">
      <c r="A23" s="73" t="str">
        <f>CONCATENATE("Раздел: ",IF(Source!G24&lt;&gt;"Новый раздел", Source!G24, ""))</f>
        <v>Раздел: 1.  ул. Черняховского, д.14А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</row>
    <row r="24" spans="1:28" x14ac:dyDescent="0.2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pans="1:28" ht="16.5" x14ac:dyDescent="0.25">
      <c r="A25" s="73" t="str">
        <f>CONCATENATE("Подраздел: ",IF(Source!G28&lt;&gt;"Новый подраздел", Source!G28, ""))</f>
        <v>Подраздел: Расчистка территории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</row>
    <row r="26" spans="1:28" ht="42.75" x14ac:dyDescent="0.2">
      <c r="A26" s="49" t="str">
        <f>Source!E32</f>
        <v>1</v>
      </c>
      <c r="B26" s="49" t="str">
        <f>Source!F32</f>
        <v>68-3-3</v>
      </c>
      <c r="C26" s="50" t="str">
        <f>Source!G32</f>
        <v>Валка деревьев в городских условиях: (ель, пихта, береза, лиственница, ольха) диаметром до 300 мм</v>
      </c>
      <c r="D26" s="51">
        <f>Source!I32</f>
        <v>13.41</v>
      </c>
      <c r="E26" s="52">
        <f>Source!AB32</f>
        <v>32.4</v>
      </c>
      <c r="F26" s="52">
        <f>Source!AD32</f>
        <v>12.1</v>
      </c>
      <c r="G26" s="53">
        <f>Source!O32</f>
        <v>434</v>
      </c>
      <c r="H26" s="53">
        <f>Source!S32</f>
        <v>272</v>
      </c>
      <c r="I26" s="53">
        <f>Source!Q32</f>
        <v>162</v>
      </c>
      <c r="J26" s="54">
        <f>Source!AH32</f>
        <v>2.97</v>
      </c>
      <c r="K26" s="54">
        <f>Source!U32</f>
        <v>39.8277</v>
      </c>
      <c r="T26">
        <f>Source!O32+Source!X32+Source!Y32</f>
        <v>880</v>
      </c>
      <c r="U26">
        <f>Source!P32</f>
        <v>0</v>
      </c>
      <c r="V26">
        <f>Source!S32</f>
        <v>272</v>
      </c>
      <c r="W26">
        <f>Source!Q32</f>
        <v>162</v>
      </c>
      <c r="X26">
        <f>Source!R32</f>
        <v>0</v>
      </c>
      <c r="Y26">
        <f>Source!U32</f>
        <v>39.8277</v>
      </c>
      <c r="Z26">
        <f>Source!V32</f>
        <v>0</v>
      </c>
      <c r="AA26">
        <f>Source!X32</f>
        <v>283</v>
      </c>
      <c r="AB26">
        <f>Source!Y32</f>
        <v>163</v>
      </c>
    </row>
    <row r="27" spans="1:28" ht="14.25" x14ac:dyDescent="0.2">
      <c r="A27" s="48"/>
      <c r="B27" s="48"/>
      <c r="C27" s="55" t="str">
        <f>Source!H32</f>
        <v>1 складочный м3 кряжей</v>
      </c>
      <c r="D27" s="51"/>
      <c r="E27" s="52">
        <f>Source!AF32</f>
        <v>20.3</v>
      </c>
      <c r="F27" s="52">
        <f>Source!AE32</f>
        <v>0</v>
      </c>
      <c r="G27" s="53"/>
      <c r="H27" s="53"/>
      <c r="I27" s="53">
        <f>Source!R32</f>
        <v>0</v>
      </c>
      <c r="J27" s="54">
        <f>Source!AI32</f>
        <v>0</v>
      </c>
      <c r="K27" s="54">
        <f>Source!V32</f>
        <v>0</v>
      </c>
    </row>
    <row r="28" spans="1:28" x14ac:dyDescent="0.2">
      <c r="A28" s="48"/>
      <c r="B28" s="48"/>
      <c r="C28" s="56" t="s">
        <v>695</v>
      </c>
      <c r="D28" s="57">
        <f>Source!BZ32</f>
        <v>104</v>
      </c>
      <c r="E28" s="58">
        <f>(Source!AF32+Source!AE32)*Source!FX32/100</f>
        <v>21.112000000000002</v>
      </c>
      <c r="F28" s="57"/>
      <c r="G28" s="59">
        <f>Source!X32</f>
        <v>283</v>
      </c>
      <c r="H28" s="57" t="str">
        <f>CONCATENATE(Source!AT32)</f>
        <v>104</v>
      </c>
      <c r="I28" s="57"/>
      <c r="J28" s="57"/>
      <c r="K28" s="57"/>
    </row>
    <row r="29" spans="1:28" x14ac:dyDescent="0.2">
      <c r="A29" s="48"/>
      <c r="B29" s="48"/>
      <c r="C29" s="56" t="s">
        <v>696</v>
      </c>
      <c r="D29" s="57">
        <f>Source!CA32</f>
        <v>60</v>
      </c>
      <c r="E29" s="58">
        <f>(Source!AF32+Source!AE32)*Source!FY32/100</f>
        <v>12.18</v>
      </c>
      <c r="F29" s="57"/>
      <c r="G29" s="59">
        <f>Source!Y32</f>
        <v>163</v>
      </c>
      <c r="H29" s="57" t="str">
        <f>CONCATENATE(Source!AU32)</f>
        <v>60</v>
      </c>
      <c r="I29" s="57"/>
      <c r="J29" s="57"/>
      <c r="K29" s="57"/>
    </row>
    <row r="30" spans="1:28" x14ac:dyDescent="0.2">
      <c r="A30" s="48"/>
      <c r="B30" s="48"/>
      <c r="C30" s="56" t="s">
        <v>697</v>
      </c>
      <c r="D30" s="57"/>
      <c r="E30" s="58">
        <f>((Source!AF32+Source!AE32)*Source!FX32/100)+((Source!AF32+Source!AE32)*Source!FY32/100)+Source!AB32</f>
        <v>65.692000000000007</v>
      </c>
      <c r="F30" s="57"/>
      <c r="G30" s="59">
        <f>Source!O32+Source!X32+Source!Y32</f>
        <v>880</v>
      </c>
      <c r="H30" s="57"/>
      <c r="I30" s="57"/>
      <c r="J30" s="57"/>
      <c r="K30" s="57"/>
    </row>
    <row r="31" spans="1:28" ht="28.5" x14ac:dyDescent="0.2">
      <c r="A31" s="49" t="str">
        <f>Source!E33</f>
        <v>2</v>
      </c>
      <c r="B31" s="49" t="str">
        <f>Source!F33</f>
        <v>01-02-111-4</v>
      </c>
      <c r="C31" s="50" t="str">
        <f>Source!G33</f>
        <v>Корчевка вручную пней диаметром: от 260 до 300 мм</v>
      </c>
      <c r="D31" s="51">
        <f>Source!I33</f>
        <v>0.09</v>
      </c>
      <c r="E31" s="52">
        <f>Source!AB33</f>
        <v>481.3</v>
      </c>
      <c r="F31" s="52">
        <f>Source!AD33</f>
        <v>0</v>
      </c>
      <c r="G31" s="53">
        <f>Source!O33</f>
        <v>43</v>
      </c>
      <c r="H31" s="53">
        <f>Source!S33</f>
        <v>43</v>
      </c>
      <c r="I31" s="53">
        <f>Source!Q33</f>
        <v>0</v>
      </c>
      <c r="J31" s="54">
        <f>Source!AH33</f>
        <v>75.8</v>
      </c>
      <c r="K31" s="54">
        <f>Source!U33</f>
        <v>6.8219999999999992</v>
      </c>
      <c r="T31">
        <f>Source!O33+Source!X33+Source!Y33</f>
        <v>93</v>
      </c>
      <c r="U31">
        <f>Source!P33</f>
        <v>0</v>
      </c>
      <c r="V31">
        <f>Source!S33</f>
        <v>43</v>
      </c>
      <c r="W31">
        <f>Source!Q33</f>
        <v>0</v>
      </c>
      <c r="X31">
        <f>Source!R33</f>
        <v>0</v>
      </c>
      <c r="Y31">
        <f>Source!U33</f>
        <v>6.8219999999999992</v>
      </c>
      <c r="Z31">
        <f>Source!V33</f>
        <v>0</v>
      </c>
      <c r="AA31">
        <f>Source!X33</f>
        <v>34</v>
      </c>
      <c r="AB31">
        <f>Source!Y33</f>
        <v>16</v>
      </c>
    </row>
    <row r="32" spans="1:28" ht="14.25" x14ac:dyDescent="0.2">
      <c r="A32" s="48"/>
      <c r="B32" s="48"/>
      <c r="C32" s="55" t="str">
        <f>Source!H33</f>
        <v>100 пней</v>
      </c>
      <c r="D32" s="51"/>
      <c r="E32" s="52">
        <f>Source!AF33</f>
        <v>481.3</v>
      </c>
      <c r="F32" s="52">
        <f>Source!AE33</f>
        <v>0</v>
      </c>
      <c r="G32" s="53"/>
      <c r="H32" s="53"/>
      <c r="I32" s="53">
        <f>Source!R33</f>
        <v>0</v>
      </c>
      <c r="J32" s="54">
        <f>Source!AI33</f>
        <v>0</v>
      </c>
      <c r="K32" s="54">
        <f>Source!V33</f>
        <v>0</v>
      </c>
    </row>
    <row r="33" spans="1:28" x14ac:dyDescent="0.2">
      <c r="A33" s="48"/>
      <c r="B33" s="48"/>
      <c r="C33" s="60" t="str">
        <f>"Объем: "&amp;Source!I33&amp;"=9/"&amp;"100"</f>
        <v>Объем: 0,09=9/100</v>
      </c>
      <c r="D33" s="48"/>
      <c r="E33" s="48"/>
      <c r="F33" s="48"/>
      <c r="G33" s="48"/>
      <c r="H33" s="48"/>
      <c r="I33" s="48"/>
      <c r="J33" s="48"/>
      <c r="K33" s="48"/>
    </row>
    <row r="34" spans="1:28" x14ac:dyDescent="0.2">
      <c r="A34" s="48"/>
      <c r="B34" s="48"/>
      <c r="C34" s="56" t="s">
        <v>695</v>
      </c>
      <c r="D34" s="57">
        <f>Source!BZ33</f>
        <v>80</v>
      </c>
      <c r="E34" s="58">
        <f>(Source!AF33+Source!AE33)*Source!FX33/100</f>
        <v>385.04</v>
      </c>
      <c r="F34" s="57"/>
      <c r="G34" s="59">
        <f>Source!X33</f>
        <v>34</v>
      </c>
      <c r="H34" s="57" t="str">
        <f>CONCATENATE(Source!AT33)</f>
        <v>80</v>
      </c>
      <c r="I34" s="57"/>
      <c r="J34" s="57"/>
      <c r="K34" s="57"/>
    </row>
    <row r="35" spans="1:28" x14ac:dyDescent="0.2">
      <c r="A35" s="48"/>
      <c r="B35" s="48"/>
      <c r="C35" s="56" t="s">
        <v>696</v>
      </c>
      <c r="D35" s="57">
        <f>Source!CA33</f>
        <v>45</v>
      </c>
      <c r="E35" s="58">
        <f>(Source!AF33+Source!AE33)*Source!FY33/100</f>
        <v>184.09725000000003</v>
      </c>
      <c r="F35" s="57" t="str">
        <f>CONCATENATE(Source!DM33,Source!FU33, "=", Source!FY33, "%")</f>
        <v>*0,85=38,25%</v>
      </c>
      <c r="G35" s="59">
        <f>Source!Y33</f>
        <v>16</v>
      </c>
      <c r="H35" s="57" t="str">
        <f>CONCATENATE(Source!AU33)</f>
        <v>38</v>
      </c>
      <c r="I35" s="57"/>
      <c r="J35" s="57"/>
      <c r="K35" s="57"/>
    </row>
    <row r="36" spans="1:28" x14ac:dyDescent="0.2">
      <c r="A36" s="48"/>
      <c r="B36" s="48"/>
      <c r="C36" s="56" t="s">
        <v>697</v>
      </c>
      <c r="D36" s="57"/>
      <c r="E36" s="58">
        <f>((Source!AF33+Source!AE33)*Source!FX33/100)+((Source!AF33+Source!AE33)*Source!FY33/100)+Source!AB33</f>
        <v>1050.4372499999999</v>
      </c>
      <c r="F36" s="57"/>
      <c r="G36" s="59">
        <f>Source!O33+Source!X33+Source!Y33</f>
        <v>93</v>
      </c>
      <c r="H36" s="57"/>
      <c r="I36" s="57"/>
      <c r="J36" s="57"/>
      <c r="K36" s="57"/>
    </row>
    <row r="37" spans="1:28" ht="42.75" x14ac:dyDescent="0.2">
      <c r="A37" s="49" t="str">
        <f>Source!E34</f>
        <v>3</v>
      </c>
      <c r="B37" s="49" t="str">
        <f>Source!F34</f>
        <v>пг01-01-01-008</v>
      </c>
      <c r="C37" s="50" t="str">
        <f>Source!G34</f>
        <v>Погрузочные работы при автомобильных перевозках: леса пиленого, погонажа плотничный, шпал</v>
      </c>
      <c r="D37" s="51">
        <f>Source!I34</f>
        <v>8.0459999999999994</v>
      </c>
      <c r="E37" s="52">
        <f>Source!AB34</f>
        <v>10.3</v>
      </c>
      <c r="F37" s="52">
        <f>Source!AD34</f>
        <v>10.3</v>
      </c>
      <c r="G37" s="53">
        <f>Source!O34</f>
        <v>83</v>
      </c>
      <c r="H37" s="53">
        <f>Source!S34</f>
        <v>0</v>
      </c>
      <c r="I37" s="53">
        <f>Source!Q34</f>
        <v>83</v>
      </c>
      <c r="J37" s="54">
        <f>Source!AH34</f>
        <v>0</v>
      </c>
      <c r="K37" s="54">
        <f>Source!U34</f>
        <v>0</v>
      </c>
      <c r="T37">
        <f>Source!O34+Source!X34+Source!Y34</f>
        <v>83</v>
      </c>
      <c r="U37">
        <f>Source!P34</f>
        <v>0</v>
      </c>
      <c r="V37">
        <f>Source!S34</f>
        <v>0</v>
      </c>
      <c r="W37">
        <f>Source!Q34</f>
        <v>83</v>
      </c>
      <c r="X37">
        <f>Source!R34</f>
        <v>0</v>
      </c>
      <c r="Y37">
        <f>Source!U34</f>
        <v>0</v>
      </c>
      <c r="Z37">
        <f>Source!V34</f>
        <v>0</v>
      </c>
      <c r="AA37">
        <f>Source!X34</f>
        <v>0</v>
      </c>
      <c r="AB37">
        <f>Source!Y34</f>
        <v>0</v>
      </c>
    </row>
    <row r="38" spans="1:28" ht="14.25" x14ac:dyDescent="0.2">
      <c r="A38" s="48"/>
      <c r="B38" s="48"/>
      <c r="C38" s="55" t="str">
        <f>Source!H34</f>
        <v>1 Т ГРУЗА</v>
      </c>
      <c r="D38" s="51"/>
      <c r="E38" s="52">
        <f>Source!AF34</f>
        <v>0</v>
      </c>
      <c r="F38" s="52">
        <f>Source!AE34</f>
        <v>0</v>
      </c>
      <c r="G38" s="53"/>
      <c r="H38" s="53"/>
      <c r="I38" s="53">
        <f>Source!R34</f>
        <v>0</v>
      </c>
      <c r="J38" s="54">
        <f>Source!AI34</f>
        <v>0</v>
      </c>
      <c r="K38" s="54">
        <f>Source!V34</f>
        <v>0</v>
      </c>
    </row>
    <row r="39" spans="1:28" x14ac:dyDescent="0.2">
      <c r="A39" s="48"/>
      <c r="B39" s="48"/>
      <c r="C39" s="60" t="str">
        <f>"Объем: "&amp;Source!I34&amp;"="&amp;Source!I32&amp;"*"&amp;"0,6"</f>
        <v>Объем: 8,046=13,41*0,6</v>
      </c>
      <c r="D39" s="48"/>
      <c r="E39" s="48"/>
      <c r="F39" s="48"/>
      <c r="G39" s="48"/>
      <c r="H39" s="48"/>
      <c r="I39" s="48"/>
      <c r="J39" s="48"/>
      <c r="K39" s="48"/>
    </row>
    <row r="40" spans="1:28" ht="57" x14ac:dyDescent="0.2">
      <c r="A40" s="49" t="str">
        <f>Source!E35</f>
        <v>4</v>
      </c>
      <c r="B40" s="49" t="str">
        <f>Source!F35</f>
        <v>пг03-21-01-030</v>
      </c>
      <c r="C40" s="50" t="str">
        <f>Source!G35</f>
        <v>Перевозка грузов автомобилями-самосвалами грузоподъемностью 10 т, работающих вне карьера, на расстояние: до 30 км I класс груза</v>
      </c>
      <c r="D40" s="51">
        <f>Source!I35</f>
        <v>8.0459999999999994</v>
      </c>
      <c r="E40" s="52">
        <f>Source!AB35</f>
        <v>19.2</v>
      </c>
      <c r="F40" s="52">
        <f>Source!AD35</f>
        <v>19.2</v>
      </c>
      <c r="G40" s="53">
        <f>Source!O35</f>
        <v>154</v>
      </c>
      <c r="H40" s="53">
        <f>Source!S35</f>
        <v>0</v>
      </c>
      <c r="I40" s="53">
        <f>Source!Q35</f>
        <v>154</v>
      </c>
      <c r="J40" s="54">
        <f>Source!AH35</f>
        <v>0</v>
      </c>
      <c r="K40" s="54">
        <f>Source!U35</f>
        <v>0</v>
      </c>
      <c r="T40">
        <f>Source!O35+Source!X35+Source!Y35</f>
        <v>154</v>
      </c>
      <c r="U40">
        <f>Source!P35</f>
        <v>0</v>
      </c>
      <c r="V40">
        <f>Source!S35</f>
        <v>0</v>
      </c>
      <c r="W40">
        <f>Source!Q35</f>
        <v>154</v>
      </c>
      <c r="X40">
        <f>Source!R35</f>
        <v>0</v>
      </c>
      <c r="Y40">
        <f>Source!U35</f>
        <v>0</v>
      </c>
      <c r="Z40">
        <f>Source!V35</f>
        <v>0</v>
      </c>
      <c r="AA40">
        <f>Source!X35</f>
        <v>0</v>
      </c>
      <c r="AB40">
        <f>Source!Y35</f>
        <v>0</v>
      </c>
    </row>
    <row r="41" spans="1:28" ht="14.25" x14ac:dyDescent="0.2">
      <c r="A41" s="48"/>
      <c r="B41" s="48"/>
      <c r="C41" s="55" t="str">
        <f>Source!H35</f>
        <v>1 Т ГРУЗА</v>
      </c>
      <c r="D41" s="51"/>
      <c r="E41" s="52">
        <f>Source!AF35</f>
        <v>0</v>
      </c>
      <c r="F41" s="52">
        <f>Source!AE35</f>
        <v>0</v>
      </c>
      <c r="G41" s="53"/>
      <c r="H41" s="53"/>
      <c r="I41" s="53">
        <f>Source!R35</f>
        <v>0</v>
      </c>
      <c r="J41" s="54">
        <f>Source!AI35</f>
        <v>0</v>
      </c>
      <c r="K41" s="54">
        <f>Source!V35</f>
        <v>0</v>
      </c>
    </row>
    <row r="42" spans="1:28" ht="71.25" x14ac:dyDescent="0.2">
      <c r="A42" s="49" t="str">
        <f>Source!E36</f>
        <v>5</v>
      </c>
      <c r="B42" s="49" t="str">
        <f>Source!F36</f>
        <v>69-19-1</v>
      </c>
      <c r="C42" s="50" t="str">
        <f>Source!G36</f>
        <v>Разборка горизонтальных поверхностей бетонных конструкций при помощи отбойных молотков, бетон марки: 100 (бетонное основание скамеек)</v>
      </c>
      <c r="D42" s="51">
        <f>Source!I36</f>
        <v>1.28</v>
      </c>
      <c r="E42" s="52">
        <f>Source!AB36</f>
        <v>228.7</v>
      </c>
      <c r="F42" s="52">
        <f>Source!AD36</f>
        <v>161.1</v>
      </c>
      <c r="G42" s="53">
        <f>Source!O36</f>
        <v>293</v>
      </c>
      <c r="H42" s="53">
        <f>Source!S36</f>
        <v>87</v>
      </c>
      <c r="I42" s="53">
        <f>Source!Q36</f>
        <v>206</v>
      </c>
      <c r="J42" s="54">
        <f>Source!AH36</f>
        <v>9.74</v>
      </c>
      <c r="K42" s="54">
        <f>Source!U36</f>
        <v>12.4672</v>
      </c>
      <c r="T42">
        <f>Source!O36+Source!X36+Source!Y36</f>
        <v>405</v>
      </c>
      <c r="U42">
        <f>Source!P36</f>
        <v>0</v>
      </c>
      <c r="V42">
        <f>Source!S36</f>
        <v>87</v>
      </c>
      <c r="W42">
        <f>Source!Q36</f>
        <v>206</v>
      </c>
      <c r="X42">
        <f>Source!R36</f>
        <v>0</v>
      </c>
      <c r="Y42">
        <f>Source!U36</f>
        <v>12.4672</v>
      </c>
      <c r="Z42">
        <f>Source!V36</f>
        <v>0</v>
      </c>
      <c r="AA42">
        <f>Source!X36</f>
        <v>68</v>
      </c>
      <c r="AB42">
        <f>Source!Y36</f>
        <v>44</v>
      </c>
    </row>
    <row r="43" spans="1:28" ht="14.25" x14ac:dyDescent="0.2">
      <c r="A43" s="48"/>
      <c r="B43" s="48"/>
      <c r="C43" s="55" t="str">
        <f>Source!H36</f>
        <v>1 м3 бетона</v>
      </c>
      <c r="D43" s="51"/>
      <c r="E43" s="52">
        <f>Source!AF36</f>
        <v>67.599999999999994</v>
      </c>
      <c r="F43" s="52">
        <f>Source!AE36</f>
        <v>0</v>
      </c>
      <c r="G43" s="53"/>
      <c r="H43" s="53"/>
      <c r="I43" s="53">
        <f>Source!R36</f>
        <v>0</v>
      </c>
      <c r="J43" s="54">
        <f>Source!AI36</f>
        <v>0</v>
      </c>
      <c r="K43" s="54">
        <f>Source!V36</f>
        <v>0</v>
      </c>
    </row>
    <row r="44" spans="1:28" x14ac:dyDescent="0.2">
      <c r="A44" s="48"/>
      <c r="B44" s="48"/>
      <c r="C44" s="60" t="str">
        <f>"Объем: "&amp;Source!I36&amp;"=0,28+"&amp;"1"</f>
        <v>Объем: 1,28=0,28+1</v>
      </c>
      <c r="D44" s="48"/>
      <c r="E44" s="48"/>
      <c r="F44" s="48"/>
      <c r="G44" s="48"/>
      <c r="H44" s="48"/>
      <c r="I44" s="48"/>
      <c r="J44" s="48"/>
      <c r="K44" s="48"/>
    </row>
    <row r="45" spans="1:28" x14ac:dyDescent="0.2">
      <c r="A45" s="48"/>
      <c r="B45" s="48"/>
      <c r="C45" s="56" t="s">
        <v>695</v>
      </c>
      <c r="D45" s="57">
        <f>Source!BZ36</f>
        <v>78</v>
      </c>
      <c r="E45" s="58">
        <f>(Source!AF36+Source!AE36)*Source!FX36/100</f>
        <v>52.727999999999994</v>
      </c>
      <c r="F45" s="57"/>
      <c r="G45" s="59">
        <f>Source!X36</f>
        <v>68</v>
      </c>
      <c r="H45" s="57" t="str">
        <f>CONCATENATE(Source!AT36)</f>
        <v>78</v>
      </c>
      <c r="I45" s="57"/>
      <c r="J45" s="57"/>
      <c r="K45" s="57"/>
    </row>
    <row r="46" spans="1:28" x14ac:dyDescent="0.2">
      <c r="A46" s="48"/>
      <c r="B46" s="48"/>
      <c r="C46" s="56" t="s">
        <v>696</v>
      </c>
      <c r="D46" s="57">
        <f>Source!CA36</f>
        <v>50</v>
      </c>
      <c r="E46" s="58">
        <f>(Source!AF36+Source!AE36)*Source!FY36/100</f>
        <v>33.799999999999997</v>
      </c>
      <c r="F46" s="57"/>
      <c r="G46" s="59">
        <f>Source!Y36</f>
        <v>44</v>
      </c>
      <c r="H46" s="57" t="str">
        <f>CONCATENATE(Source!AU36)</f>
        <v>50</v>
      </c>
      <c r="I46" s="57"/>
      <c r="J46" s="57"/>
      <c r="K46" s="57"/>
    </row>
    <row r="47" spans="1:28" x14ac:dyDescent="0.2">
      <c r="A47" s="48"/>
      <c r="B47" s="48"/>
      <c r="C47" s="56" t="s">
        <v>697</v>
      </c>
      <c r="D47" s="57"/>
      <c r="E47" s="58">
        <f>((Source!AF36+Source!AE36)*Source!FX36/100)+((Source!AF36+Source!AE36)*Source!FY36/100)+Source!AB36</f>
        <v>315.22799999999995</v>
      </c>
      <c r="F47" s="57"/>
      <c r="G47" s="59">
        <f>Source!O36+Source!X36+Source!Y36</f>
        <v>405</v>
      </c>
      <c r="H47" s="57"/>
      <c r="I47" s="57"/>
      <c r="J47" s="57"/>
      <c r="K47" s="57"/>
    </row>
    <row r="48" spans="1:28" ht="57" x14ac:dyDescent="0.2">
      <c r="A48" s="49" t="str">
        <f>Source!E37</f>
        <v>6</v>
      </c>
      <c r="B48" s="49" t="str">
        <f>Source!F37</f>
        <v>01-01-013-8</v>
      </c>
      <c r="C48" s="50" t="str">
        <f>Source!G37</f>
        <v>Разработка грунта с погрузкой на автомобили-самосвалы экскаваторами с ковшом вместимостью: 0,65 (0,5-1) м3, группа грунтов 2</v>
      </c>
      <c r="D48" s="51">
        <f>Source!I37</f>
        <v>0.42580000000000001</v>
      </c>
      <c r="E48" s="52">
        <f>Source!AB37</f>
        <v>4829.5</v>
      </c>
      <c r="F48" s="52">
        <f>Source!AD37</f>
        <v>4741.3999999999996</v>
      </c>
      <c r="G48" s="53">
        <f>Source!O37</f>
        <v>2056</v>
      </c>
      <c r="H48" s="53">
        <f>Source!S37</f>
        <v>35</v>
      </c>
      <c r="I48" s="53">
        <f>Source!Q37</f>
        <v>2019</v>
      </c>
      <c r="J48" s="54">
        <f>Source!AH37</f>
        <v>13.121499999999999</v>
      </c>
      <c r="K48" s="54">
        <f>Source!U37</f>
        <v>5.5871347</v>
      </c>
      <c r="T48">
        <f>Source!O37+Source!X37+Source!Y37</f>
        <v>2428</v>
      </c>
      <c r="U48">
        <f>Source!P37</f>
        <v>2</v>
      </c>
      <c r="V48">
        <f>Source!S37</f>
        <v>35</v>
      </c>
      <c r="W48">
        <f>Source!Q37</f>
        <v>2019</v>
      </c>
      <c r="X48">
        <f>Source!R37</f>
        <v>234</v>
      </c>
      <c r="Y48">
        <f>Source!U37</f>
        <v>5.5871347</v>
      </c>
      <c r="Z48">
        <f>Source!V37</f>
        <v>17.612152500000001</v>
      </c>
      <c r="AA48">
        <f>Source!X37</f>
        <v>256</v>
      </c>
      <c r="AB48">
        <f>Source!Y37</f>
        <v>116</v>
      </c>
    </row>
    <row r="49" spans="1:28" ht="14.25" x14ac:dyDescent="0.2">
      <c r="A49" s="48"/>
      <c r="B49" s="48"/>
      <c r="C49" s="55" t="str">
        <f>Source!H37</f>
        <v>1000 м3 грунта</v>
      </c>
      <c r="D49" s="51"/>
      <c r="E49" s="52">
        <f>Source!AF37</f>
        <v>83.3</v>
      </c>
      <c r="F49" s="52">
        <f>Source!AE37</f>
        <v>548.5</v>
      </c>
      <c r="G49" s="53"/>
      <c r="H49" s="53"/>
      <c r="I49" s="53">
        <f>Source!R37</f>
        <v>234</v>
      </c>
      <c r="J49" s="54">
        <f>Source!AI37</f>
        <v>41.362500000000004</v>
      </c>
      <c r="K49" s="54">
        <f>Source!V37</f>
        <v>17.612152500000001</v>
      </c>
    </row>
    <row r="50" spans="1:28" ht="38.25" x14ac:dyDescent="0.2">
      <c r="A50" s="48"/>
      <c r="B50" s="48"/>
      <c r="C50" s="60" t="str">
        <f>"Объем: "&amp;Source!I37&amp;"=(2340,67*"&amp;"0,08+"&amp;"540,6*"&amp;"0,26+"&amp;"376,72*"&amp;"0,26)/"&amp;"1000"</f>
        <v>Объем: 0,4258=(2340,67*0,08+540,6*0,26+376,72*0,26)/1000</v>
      </c>
      <c r="D50" s="48"/>
      <c r="E50" s="48"/>
      <c r="F50" s="48"/>
      <c r="G50" s="48"/>
      <c r="H50" s="48"/>
      <c r="I50" s="48"/>
      <c r="J50" s="48"/>
      <c r="K50" s="48"/>
    </row>
    <row r="51" spans="1:28" x14ac:dyDescent="0.2">
      <c r="A51" s="48"/>
      <c r="B51" s="48"/>
      <c r="C51" s="60" t="s">
        <v>698</v>
      </c>
      <c r="D51" s="74" t="s">
        <v>61</v>
      </c>
      <c r="E51" s="74"/>
      <c r="F51" s="74"/>
      <c r="G51" s="74"/>
      <c r="H51" s="74"/>
      <c r="I51" s="74"/>
      <c r="J51" s="74"/>
      <c r="K51" s="74"/>
    </row>
    <row r="52" spans="1:28" x14ac:dyDescent="0.2">
      <c r="A52" s="48"/>
      <c r="B52" s="48"/>
      <c r="C52" s="60" t="s">
        <v>699</v>
      </c>
      <c r="D52" s="74" t="s">
        <v>61</v>
      </c>
      <c r="E52" s="74"/>
      <c r="F52" s="74"/>
      <c r="G52" s="74"/>
      <c r="H52" s="74"/>
      <c r="I52" s="74"/>
      <c r="J52" s="74"/>
      <c r="K52" s="74"/>
    </row>
    <row r="53" spans="1:28" x14ac:dyDescent="0.2">
      <c r="A53" s="48"/>
      <c r="B53" s="48"/>
      <c r="C53" s="60" t="s">
        <v>700</v>
      </c>
      <c r="D53" s="74" t="s">
        <v>62</v>
      </c>
      <c r="E53" s="74"/>
      <c r="F53" s="74"/>
      <c r="G53" s="74"/>
      <c r="H53" s="74"/>
      <c r="I53" s="74"/>
      <c r="J53" s="74"/>
      <c r="K53" s="74"/>
    </row>
    <row r="54" spans="1:28" x14ac:dyDescent="0.2">
      <c r="A54" s="48"/>
      <c r="B54" s="48"/>
      <c r="C54" s="60" t="s">
        <v>701</v>
      </c>
      <c r="D54" s="74" t="s">
        <v>62</v>
      </c>
      <c r="E54" s="74"/>
      <c r="F54" s="74"/>
      <c r="G54" s="74"/>
      <c r="H54" s="74"/>
      <c r="I54" s="74"/>
      <c r="J54" s="74"/>
      <c r="K54" s="74"/>
    </row>
    <row r="55" spans="1:28" x14ac:dyDescent="0.2">
      <c r="A55" s="48"/>
      <c r="B55" s="48"/>
      <c r="C55" s="60" t="s">
        <v>702</v>
      </c>
      <c r="D55" s="74" t="s">
        <v>61</v>
      </c>
      <c r="E55" s="74"/>
      <c r="F55" s="74"/>
      <c r="G55" s="74"/>
      <c r="H55" s="74"/>
      <c r="I55" s="74"/>
      <c r="J55" s="74"/>
      <c r="K55" s="74"/>
    </row>
    <row r="56" spans="1:28" x14ac:dyDescent="0.2">
      <c r="A56" s="48"/>
      <c r="B56" s="48"/>
      <c r="C56" s="56" t="s">
        <v>695</v>
      </c>
      <c r="D56" s="57">
        <f>Source!BZ37</f>
        <v>95</v>
      </c>
      <c r="E56" s="58">
        <f>(Source!AF37+Source!AE37)*Source!FX37/100</f>
        <v>600.20999999999992</v>
      </c>
      <c r="F56" s="57"/>
      <c r="G56" s="59">
        <f>Source!X37</f>
        <v>256</v>
      </c>
      <c r="H56" s="57" t="str">
        <f>CONCATENATE(Source!AT37)</f>
        <v>95</v>
      </c>
      <c r="I56" s="57"/>
      <c r="J56" s="57"/>
      <c r="K56" s="57"/>
    </row>
    <row r="57" spans="1:28" x14ac:dyDescent="0.2">
      <c r="A57" s="48"/>
      <c r="B57" s="48"/>
      <c r="C57" s="56" t="s">
        <v>696</v>
      </c>
      <c r="D57" s="57">
        <f>Source!CA37</f>
        <v>50</v>
      </c>
      <c r="E57" s="58">
        <f>(Source!AF37+Source!AE37)*Source!FY37/100</f>
        <v>268.51499999999999</v>
      </c>
      <c r="F57" s="57" t="str">
        <f>CONCATENATE(Source!DM37,Source!FU37, "=", Source!FY37, "%")</f>
        <v>*0,85=42,5%</v>
      </c>
      <c r="G57" s="59">
        <f>Source!Y37</f>
        <v>116</v>
      </c>
      <c r="H57" s="57" t="str">
        <f>CONCATENATE(Source!AU37)</f>
        <v>43</v>
      </c>
      <c r="I57" s="57"/>
      <c r="J57" s="57"/>
      <c r="K57" s="57"/>
    </row>
    <row r="58" spans="1:28" x14ac:dyDescent="0.2">
      <c r="A58" s="48"/>
      <c r="B58" s="48"/>
      <c r="C58" s="56" t="s">
        <v>697</v>
      </c>
      <c r="D58" s="57"/>
      <c r="E58" s="58">
        <f>((Source!AF37+Source!AE37)*Source!FX37/100)+((Source!AF37+Source!AE37)*Source!FY37/100)+Source!AB37</f>
        <v>5698.2250000000004</v>
      </c>
      <c r="F58" s="57"/>
      <c r="G58" s="59">
        <f>Source!O37+Source!X37+Source!Y37</f>
        <v>2428</v>
      </c>
      <c r="H58" s="57"/>
      <c r="I58" s="57"/>
      <c r="J58" s="57"/>
      <c r="K58" s="57"/>
    </row>
    <row r="59" spans="1:28" ht="57" x14ac:dyDescent="0.2">
      <c r="A59" s="49" t="str">
        <f>Source!E38</f>
        <v>7</v>
      </c>
      <c r="B59" s="49" t="str">
        <f>Source!F38</f>
        <v>пг03-21-01-005</v>
      </c>
      <c r="C59" s="50" t="str">
        <f>Source!G38</f>
        <v>Перевозка грузов автомобилями-самосвалами грузоподъемностью 10 т, работающих вне карьера, на расстояние: до 5 км I класс груза</v>
      </c>
      <c r="D59" s="51">
        <f>Source!I38</f>
        <v>638.70000000000005</v>
      </c>
      <c r="E59" s="52">
        <f>Source!AB38</f>
        <v>6.7</v>
      </c>
      <c r="F59" s="52">
        <f>Source!AD38</f>
        <v>6.7</v>
      </c>
      <c r="G59" s="53">
        <f>Source!O38</f>
        <v>4279</v>
      </c>
      <c r="H59" s="53">
        <f>Source!S38</f>
        <v>0</v>
      </c>
      <c r="I59" s="53">
        <f>Source!Q38</f>
        <v>4279</v>
      </c>
      <c r="J59" s="54">
        <f>Source!AH38</f>
        <v>0</v>
      </c>
      <c r="K59" s="54">
        <f>Source!U38</f>
        <v>0</v>
      </c>
      <c r="T59">
        <f>Source!O38+Source!X38+Source!Y38</f>
        <v>4279</v>
      </c>
      <c r="U59">
        <f>Source!P38</f>
        <v>0</v>
      </c>
      <c r="V59">
        <f>Source!S38</f>
        <v>0</v>
      </c>
      <c r="W59">
        <f>Source!Q38</f>
        <v>4279</v>
      </c>
      <c r="X59">
        <f>Source!R38</f>
        <v>0</v>
      </c>
      <c r="Y59">
        <f>Source!U38</f>
        <v>0</v>
      </c>
      <c r="Z59">
        <f>Source!V38</f>
        <v>0</v>
      </c>
      <c r="AA59">
        <f>Source!X38</f>
        <v>0</v>
      </c>
      <c r="AB59">
        <f>Source!Y38</f>
        <v>0</v>
      </c>
    </row>
    <row r="60" spans="1:28" ht="14.25" x14ac:dyDescent="0.2">
      <c r="A60" s="48"/>
      <c r="B60" s="48"/>
      <c r="C60" s="55" t="str">
        <f>Source!H38</f>
        <v>1 Т ГРУЗА</v>
      </c>
      <c r="D60" s="51"/>
      <c r="E60" s="52">
        <f>Source!AF38</f>
        <v>0</v>
      </c>
      <c r="F60" s="52">
        <f>Source!AE38</f>
        <v>0</v>
      </c>
      <c r="G60" s="53"/>
      <c r="H60" s="53"/>
      <c r="I60" s="53">
        <f>Source!R38</f>
        <v>0</v>
      </c>
      <c r="J60" s="54">
        <f>Source!AI38</f>
        <v>0</v>
      </c>
      <c r="K60" s="54">
        <f>Source!V38</f>
        <v>0</v>
      </c>
    </row>
    <row r="61" spans="1:28" x14ac:dyDescent="0.2">
      <c r="A61" s="48"/>
      <c r="B61" s="48"/>
      <c r="C61" s="60" t="str">
        <f>"Объем: "&amp;Source!I38&amp;"="&amp;Source!I37&amp;"*"&amp;"1000*"&amp;"1,5"</f>
        <v>Объем: 638,7=0,4258*1000*1,5</v>
      </c>
      <c r="D61" s="48"/>
      <c r="E61" s="48"/>
      <c r="F61" s="48"/>
      <c r="G61" s="48"/>
      <c r="H61" s="48"/>
      <c r="I61" s="48"/>
      <c r="J61" s="48"/>
      <c r="K61" s="48"/>
    </row>
    <row r="62" spans="1:28" ht="114" x14ac:dyDescent="0.2">
      <c r="A62" s="49" t="str">
        <f>Source!E39</f>
        <v>8</v>
      </c>
      <c r="B62" s="49" t="str">
        <f>Source!F39</f>
        <v>27-03-011-2</v>
      </c>
      <c r="C62" s="50" t="str">
        <f>Source!G39</f>
        <v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толщина: до 10 см</v>
      </c>
      <c r="D62" s="51">
        <f>Source!I39</f>
        <v>23.406700000000001</v>
      </c>
      <c r="E62" s="52">
        <f>Source!AB39</f>
        <v>713.7</v>
      </c>
      <c r="F62" s="52">
        <f>Source!AD39</f>
        <v>710.4</v>
      </c>
      <c r="G62" s="53">
        <f>Source!O39</f>
        <v>16705</v>
      </c>
      <c r="H62" s="53">
        <f>Source!S39</f>
        <v>68</v>
      </c>
      <c r="I62" s="53">
        <f>Source!Q39</f>
        <v>16628</v>
      </c>
      <c r="J62" s="54">
        <f>Source!AH39</f>
        <v>0.42</v>
      </c>
      <c r="K62" s="54">
        <f>Source!U39</f>
        <v>9.8308140000000002</v>
      </c>
      <c r="T62">
        <f>Source!O39+Source!X39+Source!Y39</f>
        <v>17441</v>
      </c>
      <c r="U62">
        <f>Source!P39</f>
        <v>9</v>
      </c>
      <c r="V62">
        <f>Source!S39</f>
        <v>68</v>
      </c>
      <c r="W62">
        <f>Source!Q39</f>
        <v>16628</v>
      </c>
      <c r="X62">
        <f>Source!R39</f>
        <v>262</v>
      </c>
      <c r="Y62">
        <f>Source!U39</f>
        <v>9.8308140000000002</v>
      </c>
      <c r="Z62">
        <f>Source!V39</f>
        <v>21.300097000000001</v>
      </c>
      <c r="AA62">
        <f>Source!X39</f>
        <v>469</v>
      </c>
      <c r="AB62">
        <f>Source!Y39</f>
        <v>267</v>
      </c>
    </row>
    <row r="63" spans="1:28" ht="28.5" x14ac:dyDescent="0.2">
      <c r="A63" s="48"/>
      <c r="B63" s="48"/>
      <c r="C63" s="55" t="str">
        <f>Source!H39</f>
        <v>100 М2 АСФАЛЬТОБЕТОННОГО ПОКРЫТИЯ</v>
      </c>
      <c r="D63" s="51"/>
      <c r="E63" s="52">
        <f>Source!AF39</f>
        <v>2.9</v>
      </c>
      <c r="F63" s="52">
        <f>Source!AE39</f>
        <v>11.2</v>
      </c>
      <c r="G63" s="53"/>
      <c r="H63" s="53"/>
      <c r="I63" s="53">
        <f>Source!R39</f>
        <v>262</v>
      </c>
      <c r="J63" s="54">
        <f>Source!AI39</f>
        <v>0.91</v>
      </c>
      <c r="K63" s="54">
        <f>Source!V39</f>
        <v>21.300097000000001</v>
      </c>
    </row>
    <row r="64" spans="1:28" x14ac:dyDescent="0.2">
      <c r="A64" s="48"/>
      <c r="B64" s="48"/>
      <c r="C64" s="60" t="str">
        <f>"Объем: "&amp;Source!I39&amp;"=2340,67/"&amp;"100"</f>
        <v>Объем: 23,4067=2340,67/100</v>
      </c>
      <c r="D64" s="48"/>
      <c r="E64" s="48"/>
      <c r="F64" s="48"/>
      <c r="G64" s="48"/>
      <c r="H64" s="48"/>
      <c r="I64" s="48"/>
      <c r="J64" s="48"/>
      <c r="K64" s="48"/>
    </row>
    <row r="65" spans="1:28" x14ac:dyDescent="0.2">
      <c r="A65" s="48"/>
      <c r="B65" s="48"/>
      <c r="C65" s="56" t="s">
        <v>695</v>
      </c>
      <c r="D65" s="57">
        <f>Source!BZ39</f>
        <v>142</v>
      </c>
      <c r="E65" s="58">
        <f>(Source!AF39+Source!AE39)*Source!FX39/100</f>
        <v>20.022000000000002</v>
      </c>
      <c r="F65" s="57"/>
      <c r="G65" s="59">
        <f>Source!X39</f>
        <v>469</v>
      </c>
      <c r="H65" s="57" t="str">
        <f>CONCATENATE(Source!AT39)</f>
        <v>142</v>
      </c>
      <c r="I65" s="57"/>
      <c r="J65" s="57"/>
      <c r="K65" s="57"/>
    </row>
    <row r="66" spans="1:28" x14ac:dyDescent="0.2">
      <c r="A66" s="48"/>
      <c r="B66" s="48"/>
      <c r="C66" s="56" t="s">
        <v>696</v>
      </c>
      <c r="D66" s="57">
        <f>Source!CA39</f>
        <v>95</v>
      </c>
      <c r="E66" s="58">
        <f>(Source!AF39+Source!AE39)*Source!FY39/100</f>
        <v>11.38575</v>
      </c>
      <c r="F66" s="57" t="str">
        <f>CONCATENATE(Source!DM39,Source!FU39, "=", Source!FY39, "%")</f>
        <v>*0,85=80,75%</v>
      </c>
      <c r="G66" s="59">
        <f>Source!Y39</f>
        <v>267</v>
      </c>
      <c r="H66" s="57" t="str">
        <f>CONCATENATE(Source!AU39)</f>
        <v>81</v>
      </c>
      <c r="I66" s="57"/>
      <c r="J66" s="57"/>
      <c r="K66" s="57"/>
    </row>
    <row r="67" spans="1:28" x14ac:dyDescent="0.2">
      <c r="A67" s="48"/>
      <c r="B67" s="48"/>
      <c r="C67" s="56" t="s">
        <v>697</v>
      </c>
      <c r="D67" s="57"/>
      <c r="E67" s="58">
        <f>((Source!AF39+Source!AE39)*Source!FX39/100)+((Source!AF39+Source!AE39)*Source!FY39/100)+Source!AB39</f>
        <v>745.10775000000001</v>
      </c>
      <c r="F67" s="57"/>
      <c r="G67" s="59">
        <f>Source!O39+Source!X39+Source!Y39</f>
        <v>17441</v>
      </c>
      <c r="H67" s="57"/>
      <c r="I67" s="57"/>
      <c r="J67" s="57"/>
      <c r="K67" s="57"/>
    </row>
    <row r="68" spans="1:28" ht="28.5" x14ac:dyDescent="0.2">
      <c r="A68" s="49" t="str">
        <f>Source!E40</f>
        <v>9</v>
      </c>
      <c r="B68" s="49" t="str">
        <f>Source!F40</f>
        <v>68-14-1</v>
      </c>
      <c r="C68" s="50" t="str">
        <f>Source!G40</f>
        <v>Разборка бортовых камней: на бетонном основании</v>
      </c>
      <c r="D68" s="51">
        <f>Source!I40</f>
        <v>4.3730000000000002</v>
      </c>
      <c r="E68" s="52">
        <f>Source!AB40</f>
        <v>1367.4</v>
      </c>
      <c r="F68" s="52">
        <f>Source!AD40</f>
        <v>887.5</v>
      </c>
      <c r="G68" s="53">
        <f>Source!O40</f>
        <v>5980</v>
      </c>
      <c r="H68" s="53">
        <f>Source!S40</f>
        <v>2099</v>
      </c>
      <c r="I68" s="53">
        <f>Source!Q40</f>
        <v>3881</v>
      </c>
      <c r="J68" s="54">
        <f>Source!AH40</f>
        <v>68.260000000000005</v>
      </c>
      <c r="K68" s="54">
        <f>Source!U40</f>
        <v>298.50098000000003</v>
      </c>
      <c r="T68">
        <f>Source!O40+Source!X40+Source!Y40</f>
        <v>10088</v>
      </c>
      <c r="U68">
        <f>Source!P40</f>
        <v>0</v>
      </c>
      <c r="V68">
        <f>Source!S40</f>
        <v>2099</v>
      </c>
      <c r="W68">
        <f>Source!Q40</f>
        <v>3881</v>
      </c>
      <c r="X68">
        <f>Source!R40</f>
        <v>406</v>
      </c>
      <c r="Y68">
        <f>Source!U40</f>
        <v>298.50098000000003</v>
      </c>
      <c r="Z68">
        <f>Source!V40</f>
        <v>41.106200000000001</v>
      </c>
      <c r="AA68">
        <f>Source!X40</f>
        <v>2605</v>
      </c>
      <c r="AB68">
        <f>Source!Y40</f>
        <v>1503</v>
      </c>
    </row>
    <row r="69" spans="1:28" ht="14.25" x14ac:dyDescent="0.2">
      <c r="A69" s="48"/>
      <c r="B69" s="48"/>
      <c r="C69" s="55" t="str">
        <f>Source!H40</f>
        <v>100 м</v>
      </c>
      <c r="D69" s="51"/>
      <c r="E69" s="52">
        <f>Source!AF40</f>
        <v>479.9</v>
      </c>
      <c r="F69" s="52">
        <f>Source!AE40</f>
        <v>92.9</v>
      </c>
      <c r="G69" s="53"/>
      <c r="H69" s="53"/>
      <c r="I69" s="53">
        <f>Source!R40</f>
        <v>406</v>
      </c>
      <c r="J69" s="54">
        <f>Source!AI40</f>
        <v>9.4</v>
      </c>
      <c r="K69" s="54">
        <f>Source!V40</f>
        <v>41.106200000000001</v>
      </c>
    </row>
    <row r="70" spans="1:28" x14ac:dyDescent="0.2">
      <c r="A70" s="48"/>
      <c r="B70" s="48"/>
      <c r="C70" s="60" t="str">
        <f>"Объем: "&amp;Source!I40&amp;"=437,3/"&amp;"100"</f>
        <v>Объем: 4,373=437,3/100</v>
      </c>
      <c r="D70" s="48"/>
      <c r="E70" s="48"/>
      <c r="F70" s="48"/>
      <c r="G70" s="48"/>
      <c r="H70" s="48"/>
      <c r="I70" s="48"/>
      <c r="J70" s="48"/>
      <c r="K70" s="48"/>
    </row>
    <row r="71" spans="1:28" x14ac:dyDescent="0.2">
      <c r="A71" s="48"/>
      <c r="B71" s="48"/>
      <c r="C71" s="56" t="s">
        <v>695</v>
      </c>
      <c r="D71" s="57">
        <f>Source!BZ40</f>
        <v>104</v>
      </c>
      <c r="E71" s="58">
        <f>(Source!AF40+Source!AE40)*Source!FX40/100</f>
        <v>595.71199999999999</v>
      </c>
      <c r="F71" s="57"/>
      <c r="G71" s="59">
        <f>Source!X40</f>
        <v>2605</v>
      </c>
      <c r="H71" s="57" t="str">
        <f>CONCATENATE(Source!AT40)</f>
        <v>104</v>
      </c>
      <c r="I71" s="57"/>
      <c r="J71" s="57"/>
      <c r="K71" s="57"/>
    </row>
    <row r="72" spans="1:28" x14ac:dyDescent="0.2">
      <c r="A72" s="48"/>
      <c r="B72" s="48"/>
      <c r="C72" s="56" t="s">
        <v>696</v>
      </c>
      <c r="D72" s="57">
        <f>Source!CA40</f>
        <v>60</v>
      </c>
      <c r="E72" s="58">
        <f>(Source!AF40+Source!AE40)*Source!FY40/100</f>
        <v>343.68</v>
      </c>
      <c r="F72" s="57"/>
      <c r="G72" s="59">
        <f>Source!Y40</f>
        <v>1503</v>
      </c>
      <c r="H72" s="57" t="str">
        <f>CONCATENATE(Source!AU40)</f>
        <v>60</v>
      </c>
      <c r="I72" s="57"/>
      <c r="J72" s="57"/>
      <c r="K72" s="57"/>
    </row>
    <row r="73" spans="1:28" x14ac:dyDescent="0.2">
      <c r="A73" s="48"/>
      <c r="B73" s="48"/>
      <c r="C73" s="56" t="s">
        <v>697</v>
      </c>
      <c r="D73" s="57"/>
      <c r="E73" s="58">
        <f>((Source!AF40+Source!AE40)*Source!FX40/100)+((Source!AF40+Source!AE40)*Source!FY40/100)+Source!AB40</f>
        <v>2306.7920000000004</v>
      </c>
      <c r="F73" s="57"/>
      <c r="G73" s="59">
        <f>Source!O40+Source!X40+Source!Y40</f>
        <v>10088</v>
      </c>
      <c r="H73" s="57"/>
      <c r="I73" s="57"/>
      <c r="J73" s="57"/>
      <c r="K73" s="57"/>
    </row>
    <row r="74" spans="1:28" ht="71.25" x14ac:dyDescent="0.2">
      <c r="A74" s="49" t="str">
        <f>Source!E41</f>
        <v>10</v>
      </c>
      <c r="B74" s="49" t="str">
        <f>Source!F41</f>
        <v>пг01-01-01-043</v>
      </c>
      <c r="C74" s="50" t="str">
        <f>Source!G41</f>
        <v>Погрузочные работы при автомобильных перевозках: мусора строительного с погрузкой экскаваторами емкостью ковша до 0,5 м3</v>
      </c>
      <c r="D74" s="51">
        <f>Source!I41</f>
        <v>46.712899999999998</v>
      </c>
      <c r="E74" s="52">
        <f>Source!AB41</f>
        <v>3.5</v>
      </c>
      <c r="F74" s="52">
        <f>Source!AD41</f>
        <v>3.5</v>
      </c>
      <c r="G74" s="53">
        <f>Source!O41</f>
        <v>163</v>
      </c>
      <c r="H74" s="53">
        <f>Source!S41</f>
        <v>0</v>
      </c>
      <c r="I74" s="53">
        <f>Source!Q41</f>
        <v>163</v>
      </c>
      <c r="J74" s="54">
        <f>Source!AH41</f>
        <v>0</v>
      </c>
      <c r="K74" s="54">
        <f>Source!U41</f>
        <v>0</v>
      </c>
      <c r="T74">
        <f>Source!O41+Source!X41+Source!Y41</f>
        <v>163</v>
      </c>
      <c r="U74">
        <f>Source!P41</f>
        <v>0</v>
      </c>
      <c r="V74">
        <f>Source!S41</f>
        <v>0</v>
      </c>
      <c r="W74">
        <f>Source!Q41</f>
        <v>163</v>
      </c>
      <c r="X74">
        <f>Source!R41</f>
        <v>0</v>
      </c>
      <c r="Y74">
        <f>Source!U41</f>
        <v>0</v>
      </c>
      <c r="Z74">
        <f>Source!V41</f>
        <v>0</v>
      </c>
      <c r="AA74">
        <f>Source!X41</f>
        <v>0</v>
      </c>
      <c r="AB74">
        <f>Source!Y41</f>
        <v>0</v>
      </c>
    </row>
    <row r="75" spans="1:28" ht="14.25" x14ac:dyDescent="0.2">
      <c r="A75" s="48"/>
      <c r="B75" s="48"/>
      <c r="C75" s="55" t="str">
        <f>Source!H41</f>
        <v>1 Т ГРУЗА</v>
      </c>
      <c r="D75" s="51"/>
      <c r="E75" s="52">
        <f>Source!AF41</f>
        <v>0</v>
      </c>
      <c r="F75" s="52">
        <f>Source!AE41</f>
        <v>0</v>
      </c>
      <c r="G75" s="53"/>
      <c r="H75" s="53"/>
      <c r="I75" s="53">
        <f>Source!R41</f>
        <v>0</v>
      </c>
      <c r="J75" s="54">
        <f>Source!AI41</f>
        <v>0</v>
      </c>
      <c r="K75" s="54">
        <f>Source!V41</f>
        <v>0</v>
      </c>
    </row>
    <row r="76" spans="1:28" ht="38.25" x14ac:dyDescent="0.2">
      <c r="A76" s="48"/>
      <c r="B76" s="48"/>
      <c r="C76" s="60" t="str">
        <f>"Объем: "&amp;Source!I41&amp;"=431*"&amp;"0,1+"&amp;"6,3*"&amp;"0,043+"&amp;"0,28*"&amp;"2,4+"&amp;"1*"&amp;"2,5+"&amp;"0,12+"&amp;"0,05"</f>
        <v>Объем: 46,7129=431*0,1+6,3*0,043+0,28*2,4+1*2,5+0,12+0,05</v>
      </c>
      <c r="D76" s="48"/>
      <c r="E76" s="48"/>
      <c r="F76" s="48"/>
      <c r="G76" s="48"/>
      <c r="H76" s="48"/>
      <c r="I76" s="48"/>
      <c r="J76" s="48"/>
      <c r="K76" s="48"/>
    </row>
    <row r="77" spans="1:28" ht="57" x14ac:dyDescent="0.2">
      <c r="A77" s="49" t="str">
        <f>Source!E42</f>
        <v>11</v>
      </c>
      <c r="B77" s="49" t="str">
        <f>Source!F42</f>
        <v>пг03-21-01-008</v>
      </c>
      <c r="C77" s="50" t="str">
        <f>Source!G42</f>
        <v>Перевозка грузов автомобилями-самосвалами грузоподъемностью 10 т, работающих вне карьера, на расстояние: до 8 км I класс груза</v>
      </c>
      <c r="D77" s="51">
        <f>Source!I42</f>
        <v>10.2989</v>
      </c>
      <c r="E77" s="52">
        <f>Source!AB42</f>
        <v>9.5</v>
      </c>
      <c r="F77" s="52">
        <f>Source!AD42</f>
        <v>9.5</v>
      </c>
      <c r="G77" s="53">
        <f>Source!O42</f>
        <v>98</v>
      </c>
      <c r="H77" s="53">
        <f>Source!S42</f>
        <v>0</v>
      </c>
      <c r="I77" s="53">
        <f>Source!Q42</f>
        <v>98</v>
      </c>
      <c r="J77" s="54">
        <f>Source!AH42</f>
        <v>0</v>
      </c>
      <c r="K77" s="54">
        <f>Source!U42</f>
        <v>0</v>
      </c>
      <c r="T77">
        <f>Source!O42+Source!X42+Source!Y42</f>
        <v>98</v>
      </c>
      <c r="U77">
        <f>Source!P42</f>
        <v>0</v>
      </c>
      <c r="V77">
        <f>Source!S42</f>
        <v>0</v>
      </c>
      <c r="W77">
        <f>Source!Q42</f>
        <v>98</v>
      </c>
      <c r="X77">
        <f>Source!R42</f>
        <v>0</v>
      </c>
      <c r="Y77">
        <f>Source!U42</f>
        <v>0</v>
      </c>
      <c r="Z77">
        <f>Source!V42</f>
        <v>0</v>
      </c>
      <c r="AA77">
        <f>Source!X42</f>
        <v>0</v>
      </c>
      <c r="AB77">
        <f>Source!Y42</f>
        <v>0</v>
      </c>
    </row>
    <row r="78" spans="1:28" ht="14.25" x14ac:dyDescent="0.2">
      <c r="A78" s="48"/>
      <c r="B78" s="48"/>
      <c r="C78" s="55" t="str">
        <f>Source!H42</f>
        <v>1 Т ГРУЗА</v>
      </c>
      <c r="D78" s="51"/>
      <c r="E78" s="52">
        <f>Source!AF42</f>
        <v>0</v>
      </c>
      <c r="F78" s="52">
        <f>Source!AE42</f>
        <v>0</v>
      </c>
      <c r="G78" s="53"/>
      <c r="H78" s="53"/>
      <c r="I78" s="53">
        <f>Source!R42</f>
        <v>0</v>
      </c>
      <c r="J78" s="54">
        <f>Source!AI42</f>
        <v>0</v>
      </c>
      <c r="K78" s="54">
        <f>Source!V42</f>
        <v>0</v>
      </c>
    </row>
    <row r="79" spans="1:28" ht="25.5" x14ac:dyDescent="0.2">
      <c r="A79" s="48"/>
      <c r="B79" s="48"/>
      <c r="C79" s="60" t="str">
        <f>"Объем: "&amp;Source!I42&amp;"=(("&amp;Source!I39&amp;"*"&amp;"100*"&amp;"0,08)-"&amp;"(2340,67*"&amp;"0,06*"&amp;"1,26))"</f>
        <v>Объем: 10,2989=((23,4067*100*0,08)-(2340,67*0,06*1,26))</v>
      </c>
      <c r="D79" s="48"/>
      <c r="E79" s="48"/>
      <c r="F79" s="48"/>
      <c r="G79" s="48"/>
      <c r="H79" s="48"/>
      <c r="I79" s="48"/>
      <c r="J79" s="48"/>
      <c r="K79" s="48"/>
    </row>
    <row r="80" spans="1:28" ht="57" x14ac:dyDescent="0.2">
      <c r="A80" s="49" t="str">
        <f>Source!E43</f>
        <v>12</v>
      </c>
      <c r="B80" s="49" t="str">
        <f>Source!F43</f>
        <v>пг03-21-01-030</v>
      </c>
      <c r="C80" s="50" t="str">
        <f>Source!G43</f>
        <v>Перевозка грузов автомобилями-самосвалами грузоподъемностью 10 т, работающих вне карьера, на расстояние: до 30 км I класс груза</v>
      </c>
      <c r="D80" s="51">
        <f>Source!I43</f>
        <v>46.712899999999998</v>
      </c>
      <c r="E80" s="52">
        <f>Source!AB43</f>
        <v>19.2</v>
      </c>
      <c r="F80" s="52">
        <f>Source!AD43</f>
        <v>19.2</v>
      </c>
      <c r="G80" s="53">
        <f>Source!O43</f>
        <v>897</v>
      </c>
      <c r="H80" s="53">
        <f>Source!S43</f>
        <v>0</v>
      </c>
      <c r="I80" s="53">
        <f>Source!Q43</f>
        <v>897</v>
      </c>
      <c r="J80" s="54">
        <f>Source!AH43</f>
        <v>0</v>
      </c>
      <c r="K80" s="54">
        <f>Source!U43</f>
        <v>0</v>
      </c>
      <c r="T80">
        <f>Source!O43+Source!X43+Source!Y43</f>
        <v>897</v>
      </c>
      <c r="U80">
        <f>Source!P43</f>
        <v>0</v>
      </c>
      <c r="V80">
        <f>Source!S43</f>
        <v>0</v>
      </c>
      <c r="W80">
        <f>Source!Q43</f>
        <v>897</v>
      </c>
      <c r="X80">
        <f>Source!R43</f>
        <v>0</v>
      </c>
      <c r="Y80">
        <f>Source!U43</f>
        <v>0</v>
      </c>
      <c r="Z80">
        <f>Source!V43</f>
        <v>0</v>
      </c>
      <c r="AA80">
        <f>Source!X43</f>
        <v>0</v>
      </c>
      <c r="AB80">
        <f>Source!Y43</f>
        <v>0</v>
      </c>
    </row>
    <row r="81" spans="1:28" ht="14.25" x14ac:dyDescent="0.2">
      <c r="A81" s="48"/>
      <c r="B81" s="48"/>
      <c r="C81" s="55" t="str">
        <f>Source!H43</f>
        <v>1 Т ГРУЗА</v>
      </c>
      <c r="D81" s="51"/>
      <c r="E81" s="52">
        <f>Source!AF43</f>
        <v>0</v>
      </c>
      <c r="F81" s="52">
        <f>Source!AE43</f>
        <v>0</v>
      </c>
      <c r="G81" s="53"/>
      <c r="H81" s="53"/>
      <c r="I81" s="53">
        <f>Source!R43</f>
        <v>0</v>
      </c>
      <c r="J81" s="54">
        <f>Source!AI43</f>
        <v>0</v>
      </c>
      <c r="K81" s="54">
        <f>Source!V43</f>
        <v>0</v>
      </c>
    </row>
    <row r="82" spans="1:28" x14ac:dyDescent="0.2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</row>
    <row r="83" spans="1:28" ht="15" x14ac:dyDescent="0.25">
      <c r="A83" s="61"/>
      <c r="B83" s="61"/>
      <c r="C83" s="77" t="str">
        <f>CONCATENATE("Итого по подразделу: ",IF(Source!G45&lt;&gt;"Новый подраздел", Source!G45, ""))</f>
        <v>Итого по подразделу: Расчистка территории</v>
      </c>
      <c r="D83" s="77"/>
      <c r="E83" s="77"/>
      <c r="F83" s="77"/>
      <c r="G83" s="62">
        <f>IF(SUM(T25:T82)=0, "-", SUM(T25:T82))</f>
        <v>37009</v>
      </c>
      <c r="H83" s="62">
        <f>IF(SUM(V25:V82)=0, "-", SUM(V25:V82))</f>
        <v>2604</v>
      </c>
      <c r="I83" s="62">
        <f>IF(SUM(W25:W82)=0, "-", SUM(W25:W82))</f>
        <v>28570</v>
      </c>
      <c r="J83" s="62"/>
      <c r="K83" s="63">
        <f>IF(SUM(Y25:Y82)=0, "-", SUM(Y25:Y82))</f>
        <v>373.03582870000002</v>
      </c>
    </row>
    <row r="84" spans="1:28" ht="15" x14ac:dyDescent="0.25">
      <c r="A84" s="61"/>
      <c r="B84" s="61"/>
      <c r="C84" s="61"/>
      <c r="D84" s="61"/>
      <c r="E84" s="61"/>
      <c r="F84" s="61"/>
      <c r="G84" s="62"/>
      <c r="H84" s="62"/>
      <c r="I84" s="62">
        <f>IF(SUM(X25:X82)=0, "-", SUM(X25:X82))</f>
        <v>902</v>
      </c>
      <c r="J84" s="62"/>
      <c r="K84" s="63">
        <f>IF(SUM(Z25:Z82)=0, "-", SUM(Z25:Z82))</f>
        <v>80.018449500000003</v>
      </c>
    </row>
    <row r="85" spans="1:28" x14ac:dyDescent="0.2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</row>
    <row r="86" spans="1:28" x14ac:dyDescent="0.2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</row>
    <row r="87" spans="1:28" x14ac:dyDescent="0.2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</row>
    <row r="88" spans="1:28" ht="16.5" x14ac:dyDescent="0.25">
      <c r="A88" s="73" t="str">
        <f>CONCATENATE("Подраздел: ",IF(Source!G75&lt;&gt;"Новый подраздел", Source!G75, ""))</f>
        <v>Подраздел: Дворовой проезд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</row>
    <row r="89" spans="1:28" ht="16.5" x14ac:dyDescent="0.25">
      <c r="A89" s="73" t="str">
        <f>CONCATENATE("Подраздел: ",IF(Source!G109&lt;&gt;"Новый подраздел", Source!G109, ""))</f>
        <v>Подраздел: Асфальт S=2881,3м2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</row>
    <row r="90" spans="1:28" ht="42.75" x14ac:dyDescent="0.2">
      <c r="A90" s="49" t="str">
        <f>Source!E113</f>
        <v>13</v>
      </c>
      <c r="B90" s="49" t="str">
        <f>Source!F113</f>
        <v>27-04-001-1</v>
      </c>
      <c r="C90" s="50" t="str">
        <f>Source!G113</f>
        <v>Устройство подстилающих и выравнивающих слоев оснований: из песка</v>
      </c>
      <c r="D90" s="51">
        <f>Source!I113</f>
        <v>0.54059999999999997</v>
      </c>
      <c r="E90" s="52">
        <f>Source!AB113</f>
        <v>2805</v>
      </c>
      <c r="F90" s="52">
        <f>Source!AD113</f>
        <v>2675.8</v>
      </c>
      <c r="G90" s="53">
        <f>Source!O113</f>
        <v>1517</v>
      </c>
      <c r="H90" s="53">
        <f>Source!S113</f>
        <v>64</v>
      </c>
      <c r="I90" s="53">
        <f>Source!Q113</f>
        <v>1447</v>
      </c>
      <c r="J90" s="54">
        <f>Source!AH113</f>
        <v>18.077999999999999</v>
      </c>
      <c r="K90" s="54">
        <f>Source!U113</f>
        <v>9.772966799999999</v>
      </c>
      <c r="T90">
        <f>Source!O113+Source!X113+Source!Y113</f>
        <v>1922</v>
      </c>
      <c r="U90">
        <f>Source!P113</f>
        <v>6</v>
      </c>
      <c r="V90">
        <f>Source!S113</f>
        <v>64</v>
      </c>
      <c r="W90">
        <f>Source!Q113</f>
        <v>1447</v>
      </c>
      <c r="X90">
        <f>Source!R113</f>
        <v>118</v>
      </c>
      <c r="Y90">
        <f>Source!U113</f>
        <v>9.772966799999999</v>
      </c>
      <c r="Z90">
        <f>Source!V113</f>
        <v>9.37941</v>
      </c>
      <c r="AA90">
        <f>Source!X113</f>
        <v>258</v>
      </c>
      <c r="AB90">
        <f>Source!Y113</f>
        <v>147</v>
      </c>
    </row>
    <row r="91" spans="1:28" ht="28.5" x14ac:dyDescent="0.2">
      <c r="A91" s="48"/>
      <c r="B91" s="48"/>
      <c r="C91" s="55" t="str">
        <f>Source!H113</f>
        <v>100 м3 материала основания (в плотном теле)</v>
      </c>
      <c r="D91" s="51"/>
      <c r="E91" s="52">
        <f>Source!AF113</f>
        <v>117.9</v>
      </c>
      <c r="F91" s="52">
        <f>Source!AE113</f>
        <v>217.9</v>
      </c>
      <c r="G91" s="53"/>
      <c r="H91" s="53"/>
      <c r="I91" s="53">
        <f>Source!R113</f>
        <v>118</v>
      </c>
      <c r="J91" s="54">
        <f>Source!AI113</f>
        <v>17.350000000000001</v>
      </c>
      <c r="K91" s="54">
        <f>Source!V113</f>
        <v>9.37941</v>
      </c>
    </row>
    <row r="92" spans="1:28" x14ac:dyDescent="0.2">
      <c r="A92" s="48"/>
      <c r="B92" s="48"/>
      <c r="C92" s="60" t="str">
        <f>"Объем: "&amp;Source!I113&amp;"=(540,6*"&amp;"0,1)/"&amp;"100"</f>
        <v>Объем: 0,5406=(540,6*0,1)/100</v>
      </c>
      <c r="D92" s="48"/>
      <c r="E92" s="48"/>
      <c r="F92" s="48"/>
      <c r="G92" s="48"/>
      <c r="H92" s="48"/>
      <c r="I92" s="48"/>
      <c r="J92" s="48"/>
      <c r="K92" s="48"/>
    </row>
    <row r="93" spans="1:28" x14ac:dyDescent="0.2">
      <c r="A93" s="48"/>
      <c r="B93" s="48"/>
      <c r="C93" s="60" t="s">
        <v>698</v>
      </c>
      <c r="D93" s="74" t="s">
        <v>11</v>
      </c>
      <c r="E93" s="74"/>
      <c r="F93" s="74"/>
      <c r="G93" s="74"/>
      <c r="H93" s="74"/>
      <c r="I93" s="74"/>
      <c r="J93" s="74"/>
      <c r="K93" s="74"/>
    </row>
    <row r="94" spans="1:28" x14ac:dyDescent="0.2">
      <c r="A94" s="48"/>
      <c r="B94" s="48"/>
      <c r="C94" s="60" t="s">
        <v>699</v>
      </c>
      <c r="D94" s="74" t="s">
        <v>11</v>
      </c>
      <c r="E94" s="74"/>
      <c r="F94" s="74"/>
      <c r="G94" s="74"/>
      <c r="H94" s="74"/>
      <c r="I94" s="74"/>
      <c r="J94" s="74"/>
      <c r="K94" s="74"/>
    </row>
    <row r="95" spans="1:28" x14ac:dyDescent="0.2">
      <c r="A95" s="48"/>
      <c r="B95" s="48"/>
      <c r="C95" s="60" t="s">
        <v>700</v>
      </c>
      <c r="D95" s="74" t="s">
        <v>12</v>
      </c>
      <c r="E95" s="74"/>
      <c r="F95" s="74"/>
      <c r="G95" s="74"/>
      <c r="H95" s="74"/>
      <c r="I95" s="74"/>
      <c r="J95" s="74"/>
      <c r="K95" s="74"/>
    </row>
    <row r="96" spans="1:28" x14ac:dyDescent="0.2">
      <c r="A96" s="48"/>
      <c r="B96" s="48"/>
      <c r="C96" s="60" t="s">
        <v>701</v>
      </c>
      <c r="D96" s="74" t="s">
        <v>12</v>
      </c>
      <c r="E96" s="74"/>
      <c r="F96" s="74"/>
      <c r="G96" s="74"/>
      <c r="H96" s="74"/>
      <c r="I96" s="74"/>
      <c r="J96" s="74"/>
      <c r="K96" s="74"/>
    </row>
    <row r="97" spans="1:28" x14ac:dyDescent="0.2">
      <c r="A97" s="48"/>
      <c r="B97" s="48"/>
      <c r="C97" s="60" t="s">
        <v>702</v>
      </c>
      <c r="D97" s="74" t="s">
        <v>11</v>
      </c>
      <c r="E97" s="74"/>
      <c r="F97" s="74"/>
      <c r="G97" s="74"/>
      <c r="H97" s="74"/>
      <c r="I97" s="74"/>
      <c r="J97" s="74"/>
      <c r="K97" s="74"/>
    </row>
    <row r="98" spans="1:28" x14ac:dyDescent="0.2">
      <c r="A98" s="48"/>
      <c r="B98" s="48"/>
      <c r="C98" s="56" t="s">
        <v>695</v>
      </c>
      <c r="D98" s="57">
        <f>Source!BZ113</f>
        <v>142</v>
      </c>
      <c r="E98" s="58">
        <f>(Source!AF113+Source!AE113)*Source!FX113/100</f>
        <v>476.83600000000001</v>
      </c>
      <c r="F98" s="57"/>
      <c r="G98" s="59">
        <f>Source!X113</f>
        <v>258</v>
      </c>
      <c r="H98" s="57" t="str">
        <f>CONCATENATE(Source!AT113)</f>
        <v>142</v>
      </c>
      <c r="I98" s="57"/>
      <c r="J98" s="57"/>
      <c r="K98" s="57"/>
    </row>
    <row r="99" spans="1:28" x14ac:dyDescent="0.2">
      <c r="A99" s="48"/>
      <c r="B99" s="48"/>
      <c r="C99" s="56" t="s">
        <v>696</v>
      </c>
      <c r="D99" s="57">
        <f>Source!CA113</f>
        <v>95</v>
      </c>
      <c r="E99" s="58">
        <f>(Source!AF113+Source!AE113)*Source!FY113/100</f>
        <v>271.1585</v>
      </c>
      <c r="F99" s="57" t="str">
        <f>CONCATENATE(Source!DM113,Source!FU113, "=", Source!FY113, "%")</f>
        <v>*0,85=80,75%</v>
      </c>
      <c r="G99" s="59">
        <f>Source!Y113</f>
        <v>147</v>
      </c>
      <c r="H99" s="57" t="str">
        <f>CONCATENATE(Source!AU113)</f>
        <v>81</v>
      </c>
      <c r="I99" s="57"/>
      <c r="J99" s="57"/>
      <c r="K99" s="57"/>
    </row>
    <row r="100" spans="1:28" x14ac:dyDescent="0.2">
      <c r="A100" s="48"/>
      <c r="B100" s="48"/>
      <c r="C100" s="56" t="s">
        <v>697</v>
      </c>
      <c r="D100" s="57"/>
      <c r="E100" s="58">
        <f>((Source!AF113+Source!AE113)*Source!FX113/100)+((Source!AF113+Source!AE113)*Source!FY113/100)+Source!AB113</f>
        <v>3552.9944999999998</v>
      </c>
      <c r="F100" s="57"/>
      <c r="G100" s="59">
        <f>Source!O113+Source!X113+Source!Y113</f>
        <v>1922</v>
      </c>
      <c r="H100" s="57"/>
      <c r="I100" s="57"/>
      <c r="J100" s="57"/>
      <c r="K100" s="57"/>
    </row>
    <row r="101" spans="1:28" ht="28.5" x14ac:dyDescent="0.2">
      <c r="A101" s="49" t="str">
        <f>Source!E114</f>
        <v>13,1</v>
      </c>
      <c r="B101" s="49" t="str">
        <f>Source!F114</f>
        <v>408-0122</v>
      </c>
      <c r="C101" s="50" t="str">
        <f>Source!G114</f>
        <v>Песок природный для строительных работ средний</v>
      </c>
      <c r="D101" s="51">
        <f>Source!I114</f>
        <v>59.466000000000001</v>
      </c>
      <c r="E101" s="52">
        <f>Source!AB114</f>
        <v>51.2</v>
      </c>
      <c r="F101" s="52">
        <f>Source!AD114</f>
        <v>0</v>
      </c>
      <c r="G101" s="53">
        <f>Source!O114</f>
        <v>3045</v>
      </c>
      <c r="H101" s="53">
        <f>Source!S114</f>
        <v>0</v>
      </c>
      <c r="I101" s="53">
        <f>Source!Q114</f>
        <v>0</v>
      </c>
      <c r="J101" s="54">
        <f>Source!AH114</f>
        <v>0</v>
      </c>
      <c r="K101" s="54">
        <f>Source!U114</f>
        <v>0</v>
      </c>
      <c r="T101">
        <f>Source!O114+Source!X114+Source!Y114</f>
        <v>3045</v>
      </c>
      <c r="U101">
        <f>Source!P114</f>
        <v>3045</v>
      </c>
      <c r="V101">
        <f>Source!S114</f>
        <v>0</v>
      </c>
      <c r="W101">
        <f>Source!Q114</f>
        <v>0</v>
      </c>
      <c r="X101">
        <f>Source!R114</f>
        <v>0</v>
      </c>
      <c r="Y101">
        <f>Source!U114</f>
        <v>0</v>
      </c>
      <c r="Z101">
        <f>Source!V114</f>
        <v>0</v>
      </c>
      <c r="AA101">
        <f>Source!X114</f>
        <v>0</v>
      </c>
      <c r="AB101">
        <f>Source!Y114</f>
        <v>0</v>
      </c>
    </row>
    <row r="102" spans="1:28" ht="14.25" x14ac:dyDescent="0.2">
      <c r="A102" s="48"/>
      <c r="B102" s="48"/>
      <c r="C102" s="55" t="str">
        <f>Source!H114</f>
        <v>м3</v>
      </c>
      <c r="D102" s="51"/>
      <c r="E102" s="52">
        <f>Source!AF114</f>
        <v>0</v>
      </c>
      <c r="F102" s="52">
        <f>Source!AE114</f>
        <v>0</v>
      </c>
      <c r="G102" s="53"/>
      <c r="H102" s="53"/>
      <c r="I102" s="53">
        <f>Source!R114</f>
        <v>0</v>
      </c>
      <c r="J102" s="54">
        <f>Source!AI114</f>
        <v>0</v>
      </c>
      <c r="K102" s="54">
        <f>Source!V114</f>
        <v>0</v>
      </c>
    </row>
    <row r="103" spans="1:28" ht="42.75" x14ac:dyDescent="0.2">
      <c r="A103" s="49" t="str">
        <f>Source!E115</f>
        <v>14</v>
      </c>
      <c r="B103" s="49" t="str">
        <f>Source!F115</f>
        <v>27-04-001-4</v>
      </c>
      <c r="C103" s="50" t="str">
        <f>Source!G115</f>
        <v>Устройство подстилающих и выравнивающих слоев оснований: из щебня</v>
      </c>
      <c r="D103" s="51">
        <f>Source!I115</f>
        <v>0.32440000000000002</v>
      </c>
      <c r="E103" s="52">
        <f>Source!AB115</f>
        <v>4369.3999999999996</v>
      </c>
      <c r="F103" s="52">
        <f>Source!AD115</f>
        <v>4170.6000000000004</v>
      </c>
      <c r="G103" s="53">
        <f>Source!O115</f>
        <v>1417</v>
      </c>
      <c r="H103" s="53">
        <f>Source!S115</f>
        <v>59</v>
      </c>
      <c r="I103" s="53">
        <f>Source!Q115</f>
        <v>1353</v>
      </c>
      <c r="J103" s="54">
        <f>Source!AH115</f>
        <v>27.8185</v>
      </c>
      <c r="K103" s="54">
        <f>Source!U115</f>
        <v>9.0243213999999998</v>
      </c>
      <c r="T103">
        <f>Source!O115+Source!X115+Source!Y115</f>
        <v>1796</v>
      </c>
      <c r="U103">
        <f>Source!P115</f>
        <v>5</v>
      </c>
      <c r="V103">
        <f>Source!S115</f>
        <v>59</v>
      </c>
      <c r="W103">
        <f>Source!Q115</f>
        <v>1353</v>
      </c>
      <c r="X103">
        <f>Source!R115</f>
        <v>111</v>
      </c>
      <c r="Y103">
        <f>Source!U115</f>
        <v>9.0243213999999998</v>
      </c>
      <c r="Z103">
        <f>Source!V115</f>
        <v>8.3533000000000008</v>
      </c>
      <c r="AA103">
        <f>Source!X115</f>
        <v>241</v>
      </c>
      <c r="AB103">
        <f>Source!Y115</f>
        <v>138</v>
      </c>
    </row>
    <row r="104" spans="1:28" ht="28.5" x14ac:dyDescent="0.2">
      <c r="A104" s="48"/>
      <c r="B104" s="48"/>
      <c r="C104" s="55" t="str">
        <f>Source!H115</f>
        <v>100 м3 материала основания (в плотном теле)</v>
      </c>
      <c r="D104" s="51"/>
      <c r="E104" s="52">
        <f>Source!AF115</f>
        <v>183</v>
      </c>
      <c r="F104" s="52">
        <f>Source!AE115</f>
        <v>342</v>
      </c>
      <c r="G104" s="53"/>
      <c r="H104" s="53"/>
      <c r="I104" s="53">
        <f>Source!R115</f>
        <v>111</v>
      </c>
      <c r="J104" s="54">
        <f>Source!AI115</f>
        <v>25.75</v>
      </c>
      <c r="K104" s="54">
        <f>Source!V115</f>
        <v>8.3533000000000008</v>
      </c>
    </row>
    <row r="105" spans="1:28" x14ac:dyDescent="0.2">
      <c r="A105" s="48"/>
      <c r="B105" s="48"/>
      <c r="C105" s="60" t="str">
        <f>"Объем: "&amp;Source!I115&amp;"=(540,6*"&amp;"0,06)/"&amp;"100"</f>
        <v>Объем: 0,3244=(540,6*0,06)/100</v>
      </c>
      <c r="D105" s="48"/>
      <c r="E105" s="48"/>
      <c r="F105" s="48"/>
      <c r="G105" s="48"/>
      <c r="H105" s="48"/>
      <c r="I105" s="48"/>
      <c r="J105" s="48"/>
      <c r="K105" s="48"/>
    </row>
    <row r="106" spans="1:28" x14ac:dyDescent="0.2">
      <c r="A106" s="48"/>
      <c r="B106" s="48"/>
      <c r="C106" s="60" t="s">
        <v>698</v>
      </c>
      <c r="D106" s="74" t="s">
        <v>61</v>
      </c>
      <c r="E106" s="74"/>
      <c r="F106" s="74"/>
      <c r="G106" s="74"/>
      <c r="H106" s="74"/>
      <c r="I106" s="74"/>
      <c r="J106" s="74"/>
      <c r="K106" s="74"/>
    </row>
    <row r="107" spans="1:28" x14ac:dyDescent="0.2">
      <c r="A107" s="48"/>
      <c r="B107" s="48"/>
      <c r="C107" s="60" t="s">
        <v>699</v>
      </c>
      <c r="D107" s="74" t="s">
        <v>61</v>
      </c>
      <c r="E107" s="74"/>
      <c r="F107" s="74"/>
      <c r="G107" s="74"/>
      <c r="H107" s="74"/>
      <c r="I107" s="74"/>
      <c r="J107" s="74"/>
      <c r="K107" s="74"/>
    </row>
    <row r="108" spans="1:28" x14ac:dyDescent="0.2">
      <c r="A108" s="48"/>
      <c r="B108" s="48"/>
      <c r="C108" s="60" t="s">
        <v>700</v>
      </c>
      <c r="D108" s="74" t="s">
        <v>62</v>
      </c>
      <c r="E108" s="74"/>
      <c r="F108" s="74"/>
      <c r="G108" s="74"/>
      <c r="H108" s="74"/>
      <c r="I108" s="74"/>
      <c r="J108" s="74"/>
      <c r="K108" s="74"/>
    </row>
    <row r="109" spans="1:28" x14ac:dyDescent="0.2">
      <c r="A109" s="48"/>
      <c r="B109" s="48"/>
      <c r="C109" s="60" t="s">
        <v>701</v>
      </c>
      <c r="D109" s="74" t="s">
        <v>62</v>
      </c>
      <c r="E109" s="74"/>
      <c r="F109" s="74"/>
      <c r="G109" s="74"/>
      <c r="H109" s="74"/>
      <c r="I109" s="74"/>
      <c r="J109" s="74"/>
      <c r="K109" s="74"/>
    </row>
    <row r="110" spans="1:28" x14ac:dyDescent="0.2">
      <c r="A110" s="48"/>
      <c r="B110" s="48"/>
      <c r="C110" s="60" t="s">
        <v>702</v>
      </c>
      <c r="D110" s="74" t="s">
        <v>61</v>
      </c>
      <c r="E110" s="74"/>
      <c r="F110" s="74"/>
      <c r="G110" s="74"/>
      <c r="H110" s="74"/>
      <c r="I110" s="74"/>
      <c r="J110" s="74"/>
      <c r="K110" s="74"/>
    </row>
    <row r="111" spans="1:28" x14ac:dyDescent="0.2">
      <c r="A111" s="48"/>
      <c r="B111" s="48"/>
      <c r="C111" s="56" t="s">
        <v>695</v>
      </c>
      <c r="D111" s="57">
        <f>Source!BZ115</f>
        <v>142</v>
      </c>
      <c r="E111" s="58">
        <f>(Source!AF115+Source!AE115)*Source!FX115/100</f>
        <v>745.5</v>
      </c>
      <c r="F111" s="57"/>
      <c r="G111" s="59">
        <f>Source!X115</f>
        <v>241</v>
      </c>
      <c r="H111" s="57" t="str">
        <f>CONCATENATE(Source!AT115)</f>
        <v>142</v>
      </c>
      <c r="I111" s="57"/>
      <c r="J111" s="57"/>
      <c r="K111" s="57"/>
    </row>
    <row r="112" spans="1:28" x14ac:dyDescent="0.2">
      <c r="A112" s="48"/>
      <c r="B112" s="48"/>
      <c r="C112" s="56" t="s">
        <v>696</v>
      </c>
      <c r="D112" s="57">
        <f>Source!CA115</f>
        <v>95</v>
      </c>
      <c r="E112" s="58">
        <f>(Source!AF115+Source!AE115)*Source!FY115/100</f>
        <v>423.9375</v>
      </c>
      <c r="F112" s="57" t="str">
        <f>CONCATENATE(Source!DM115,Source!FU115, "=", Source!FY115, "%")</f>
        <v>*0,85=80,75%</v>
      </c>
      <c r="G112" s="59">
        <f>Source!Y115</f>
        <v>138</v>
      </c>
      <c r="H112" s="57" t="str">
        <f>CONCATENATE(Source!AU115)</f>
        <v>81</v>
      </c>
      <c r="I112" s="57"/>
      <c r="J112" s="57"/>
      <c r="K112" s="57"/>
    </row>
    <row r="113" spans="1:28" x14ac:dyDescent="0.2">
      <c r="A113" s="48"/>
      <c r="B113" s="48"/>
      <c r="C113" s="56" t="s">
        <v>697</v>
      </c>
      <c r="D113" s="57"/>
      <c r="E113" s="58">
        <f>((Source!AF115+Source!AE115)*Source!FX115/100)+((Source!AF115+Source!AE115)*Source!FY115/100)+Source!AB115</f>
        <v>5538.8374999999996</v>
      </c>
      <c r="F113" s="57"/>
      <c r="G113" s="59">
        <f>Source!O115+Source!X115+Source!Y115</f>
        <v>1796</v>
      </c>
      <c r="H113" s="57"/>
      <c r="I113" s="57"/>
      <c r="J113" s="57"/>
      <c r="K113" s="57"/>
    </row>
    <row r="114" spans="1:28" ht="42.75" x14ac:dyDescent="0.2">
      <c r="A114" s="49" t="str">
        <f>Source!E116</f>
        <v>14,1</v>
      </c>
      <c r="B114" s="49" t="str">
        <f>Source!F116</f>
        <v>408-0057</v>
      </c>
      <c r="C114" s="50" t="str">
        <f>Source!G116</f>
        <v>Щебень из природного камня для строительных работ марка 600, фракция 5 (3)-20 мм</v>
      </c>
      <c r="D114" s="51">
        <f>Source!I116</f>
        <v>40.874400000000001</v>
      </c>
      <c r="E114" s="52">
        <f>Source!AB116</f>
        <v>127.2</v>
      </c>
      <c r="F114" s="52">
        <f>Source!AD116</f>
        <v>0</v>
      </c>
      <c r="G114" s="53">
        <f>Source!O116</f>
        <v>5199</v>
      </c>
      <c r="H114" s="53">
        <f>Source!S116</f>
        <v>0</v>
      </c>
      <c r="I114" s="53">
        <f>Source!Q116</f>
        <v>0</v>
      </c>
      <c r="J114" s="54">
        <f>Source!AH116</f>
        <v>0</v>
      </c>
      <c r="K114" s="54">
        <f>Source!U116</f>
        <v>0</v>
      </c>
      <c r="T114">
        <f>Source!O116+Source!X116+Source!Y116</f>
        <v>5199</v>
      </c>
      <c r="U114">
        <f>Source!P116</f>
        <v>5199</v>
      </c>
      <c r="V114">
        <f>Source!S116</f>
        <v>0</v>
      </c>
      <c r="W114">
        <f>Source!Q116</f>
        <v>0</v>
      </c>
      <c r="X114">
        <f>Source!R116</f>
        <v>0</v>
      </c>
      <c r="Y114">
        <f>Source!U116</f>
        <v>0</v>
      </c>
      <c r="Z114">
        <f>Source!V116</f>
        <v>0</v>
      </c>
      <c r="AA114">
        <f>Source!X116</f>
        <v>0</v>
      </c>
      <c r="AB114">
        <f>Source!Y116</f>
        <v>0</v>
      </c>
    </row>
    <row r="115" spans="1:28" ht="14.25" x14ac:dyDescent="0.2">
      <c r="A115" s="48"/>
      <c r="B115" s="48"/>
      <c r="C115" s="55" t="str">
        <f>Source!H116</f>
        <v>м3</v>
      </c>
      <c r="D115" s="51"/>
      <c r="E115" s="52">
        <f>Source!AF116</f>
        <v>0</v>
      </c>
      <c r="F115" s="52">
        <f>Source!AE116</f>
        <v>0</v>
      </c>
      <c r="G115" s="53"/>
      <c r="H115" s="53"/>
      <c r="I115" s="53">
        <f>Source!R116</f>
        <v>0</v>
      </c>
      <c r="J115" s="54">
        <f>Source!AI116</f>
        <v>0</v>
      </c>
      <c r="K115" s="54">
        <f>Source!V116</f>
        <v>0</v>
      </c>
    </row>
    <row r="116" spans="1:28" ht="42.75" x14ac:dyDescent="0.2">
      <c r="A116" s="49" t="str">
        <f>Source!E117</f>
        <v>15</v>
      </c>
      <c r="B116" s="49" t="str">
        <f>Source!F117</f>
        <v>27-04-001-4</v>
      </c>
      <c r="C116" s="50" t="str">
        <f>Source!G117</f>
        <v>Устройство подстилающих и выравнивающих слоев оснований: из асфальтогранулята</v>
      </c>
      <c r="D116" s="51">
        <f>Source!I117</f>
        <v>1.4044000000000001</v>
      </c>
      <c r="E116" s="52">
        <f>Source!AB117</f>
        <v>4369.3999999999996</v>
      </c>
      <c r="F116" s="52">
        <f>Source!AD117</f>
        <v>4170.6000000000004</v>
      </c>
      <c r="G116" s="53">
        <f>Source!O117</f>
        <v>6136</v>
      </c>
      <c r="H116" s="53">
        <f>Source!S117</f>
        <v>257</v>
      </c>
      <c r="I116" s="53">
        <f>Source!Q117</f>
        <v>5857</v>
      </c>
      <c r="J116" s="54">
        <f>Source!AH117</f>
        <v>27.8185</v>
      </c>
      <c r="K116" s="54">
        <f>Source!U117</f>
        <v>39.068301400000003</v>
      </c>
      <c r="T116">
        <f>Source!O117+Source!X117+Source!Y117</f>
        <v>7780</v>
      </c>
      <c r="U116">
        <f>Source!P117</f>
        <v>22</v>
      </c>
      <c r="V116">
        <f>Source!S117</f>
        <v>257</v>
      </c>
      <c r="W116">
        <f>Source!Q117</f>
        <v>5857</v>
      </c>
      <c r="X116">
        <f>Source!R117</f>
        <v>480</v>
      </c>
      <c r="Y116">
        <f>Source!U117</f>
        <v>39.068301400000003</v>
      </c>
      <c r="Z116">
        <f>Source!V117</f>
        <v>36.1633</v>
      </c>
      <c r="AA116">
        <f>Source!X117</f>
        <v>1047</v>
      </c>
      <c r="AB116">
        <f>Source!Y117</f>
        <v>597</v>
      </c>
    </row>
    <row r="117" spans="1:28" ht="28.5" x14ac:dyDescent="0.2">
      <c r="A117" s="48"/>
      <c r="B117" s="48"/>
      <c r="C117" s="55" t="str">
        <f>Source!H117</f>
        <v>100 м3 материала основания (в плотном теле)</v>
      </c>
      <c r="D117" s="51"/>
      <c r="E117" s="52">
        <f>Source!AF117</f>
        <v>183</v>
      </c>
      <c r="F117" s="52">
        <f>Source!AE117</f>
        <v>342</v>
      </c>
      <c r="G117" s="53"/>
      <c r="H117" s="53"/>
      <c r="I117" s="53">
        <f>Source!R117</f>
        <v>480</v>
      </c>
      <c r="J117" s="54">
        <f>Source!AI117</f>
        <v>25.75</v>
      </c>
      <c r="K117" s="54">
        <f>Source!V117</f>
        <v>36.1633</v>
      </c>
    </row>
    <row r="118" spans="1:28" x14ac:dyDescent="0.2">
      <c r="A118" s="48"/>
      <c r="B118" s="48"/>
      <c r="C118" s="60" t="str">
        <f>"Объем: "&amp;Source!I117&amp;"=(2340,67*"&amp;"0,06)/"&amp;"100"</f>
        <v>Объем: 1,4044=(2340,67*0,06)/100</v>
      </c>
      <c r="D118" s="48"/>
      <c r="E118" s="48"/>
      <c r="F118" s="48"/>
      <c r="G118" s="48"/>
      <c r="H118" s="48"/>
      <c r="I118" s="48"/>
      <c r="J118" s="48"/>
      <c r="K118" s="48"/>
    </row>
    <row r="119" spans="1:28" x14ac:dyDescent="0.2">
      <c r="A119" s="48"/>
      <c r="B119" s="48"/>
      <c r="C119" s="60" t="s">
        <v>698</v>
      </c>
      <c r="D119" s="74" t="s">
        <v>61</v>
      </c>
      <c r="E119" s="74"/>
      <c r="F119" s="74"/>
      <c r="G119" s="74"/>
      <c r="H119" s="74"/>
      <c r="I119" s="74"/>
      <c r="J119" s="74"/>
      <c r="K119" s="74"/>
    </row>
    <row r="120" spans="1:28" x14ac:dyDescent="0.2">
      <c r="A120" s="48"/>
      <c r="B120" s="48"/>
      <c r="C120" s="60" t="s">
        <v>699</v>
      </c>
      <c r="D120" s="74" t="s">
        <v>61</v>
      </c>
      <c r="E120" s="74"/>
      <c r="F120" s="74"/>
      <c r="G120" s="74"/>
      <c r="H120" s="74"/>
      <c r="I120" s="74"/>
      <c r="J120" s="74"/>
      <c r="K120" s="74"/>
    </row>
    <row r="121" spans="1:28" x14ac:dyDescent="0.2">
      <c r="A121" s="48"/>
      <c r="B121" s="48"/>
      <c r="C121" s="60" t="s">
        <v>700</v>
      </c>
      <c r="D121" s="74" t="s">
        <v>62</v>
      </c>
      <c r="E121" s="74"/>
      <c r="F121" s="74"/>
      <c r="G121" s="74"/>
      <c r="H121" s="74"/>
      <c r="I121" s="74"/>
      <c r="J121" s="74"/>
      <c r="K121" s="74"/>
    </row>
    <row r="122" spans="1:28" x14ac:dyDescent="0.2">
      <c r="A122" s="48"/>
      <c r="B122" s="48"/>
      <c r="C122" s="60" t="s">
        <v>701</v>
      </c>
      <c r="D122" s="74" t="s">
        <v>62</v>
      </c>
      <c r="E122" s="74"/>
      <c r="F122" s="74"/>
      <c r="G122" s="74"/>
      <c r="H122" s="74"/>
      <c r="I122" s="74"/>
      <c r="J122" s="74"/>
      <c r="K122" s="74"/>
    </row>
    <row r="123" spans="1:28" x14ac:dyDescent="0.2">
      <c r="A123" s="48"/>
      <c r="B123" s="48"/>
      <c r="C123" s="60" t="s">
        <v>702</v>
      </c>
      <c r="D123" s="74" t="s">
        <v>61</v>
      </c>
      <c r="E123" s="74"/>
      <c r="F123" s="74"/>
      <c r="G123" s="74"/>
      <c r="H123" s="74"/>
      <c r="I123" s="74"/>
      <c r="J123" s="74"/>
      <c r="K123" s="74"/>
    </row>
    <row r="124" spans="1:28" x14ac:dyDescent="0.2">
      <c r="A124" s="48"/>
      <c r="B124" s="48"/>
      <c r="C124" s="56" t="s">
        <v>695</v>
      </c>
      <c r="D124" s="57">
        <f>Source!BZ117</f>
        <v>142</v>
      </c>
      <c r="E124" s="58">
        <f>(Source!AF117+Source!AE117)*Source!FX117/100</f>
        <v>745.5</v>
      </c>
      <c r="F124" s="57"/>
      <c r="G124" s="59">
        <f>Source!X117</f>
        <v>1047</v>
      </c>
      <c r="H124" s="57" t="str">
        <f>CONCATENATE(Source!AT117)</f>
        <v>142</v>
      </c>
      <c r="I124" s="57"/>
      <c r="J124" s="57"/>
      <c r="K124" s="57"/>
    </row>
    <row r="125" spans="1:28" x14ac:dyDescent="0.2">
      <c r="A125" s="48"/>
      <c r="B125" s="48"/>
      <c r="C125" s="56" t="s">
        <v>696</v>
      </c>
      <c r="D125" s="57">
        <f>Source!CA117</f>
        <v>95</v>
      </c>
      <c r="E125" s="58">
        <f>(Source!AF117+Source!AE117)*Source!FY117/100</f>
        <v>423.9375</v>
      </c>
      <c r="F125" s="57" t="str">
        <f>CONCATENATE(Source!DM117,Source!FU117, "=", Source!FY117, "%")</f>
        <v>*0,85=80,75%</v>
      </c>
      <c r="G125" s="59">
        <f>Source!Y117</f>
        <v>597</v>
      </c>
      <c r="H125" s="57" t="str">
        <f>CONCATENATE(Source!AU117)</f>
        <v>81</v>
      </c>
      <c r="I125" s="57"/>
      <c r="J125" s="57"/>
      <c r="K125" s="57"/>
    </row>
    <row r="126" spans="1:28" x14ac:dyDescent="0.2">
      <c r="A126" s="48"/>
      <c r="B126" s="48"/>
      <c r="C126" s="56" t="s">
        <v>697</v>
      </c>
      <c r="D126" s="57"/>
      <c r="E126" s="58">
        <f>((Source!AF117+Source!AE117)*Source!FX117/100)+((Source!AF117+Source!AE117)*Source!FY117/100)+Source!AB117</f>
        <v>5538.8374999999996</v>
      </c>
      <c r="F126" s="57"/>
      <c r="G126" s="59">
        <f>Source!O117+Source!X117+Source!Y117</f>
        <v>7780</v>
      </c>
      <c r="H126" s="57"/>
      <c r="I126" s="57"/>
      <c r="J126" s="57"/>
      <c r="K126" s="57"/>
    </row>
    <row r="127" spans="1:28" ht="14.25" x14ac:dyDescent="0.2">
      <c r="A127" s="49" t="str">
        <f>Source!E118</f>
        <v>16</v>
      </c>
      <c r="B127" s="49" t="str">
        <f>Source!F118</f>
        <v>27-06-026-1</v>
      </c>
      <c r="C127" s="50" t="str">
        <f>Source!G118</f>
        <v>Розлив вяжущих материалов</v>
      </c>
      <c r="D127" s="51">
        <f>Source!I118</f>
        <v>1.4407000000000001</v>
      </c>
      <c r="E127" s="52">
        <f>Source!AB118</f>
        <v>1516.5</v>
      </c>
      <c r="F127" s="52">
        <f>Source!AD118</f>
        <v>49.4</v>
      </c>
      <c r="G127" s="53">
        <f>Source!O118</f>
        <v>2185</v>
      </c>
      <c r="H127" s="53">
        <f>Source!S118</f>
        <v>0</v>
      </c>
      <c r="I127" s="53">
        <f>Source!Q118</f>
        <v>71</v>
      </c>
      <c r="J127" s="54">
        <f>Source!AH118</f>
        <v>0</v>
      </c>
      <c r="K127" s="54">
        <f>Source!U118</f>
        <v>0</v>
      </c>
      <c r="T127">
        <f>Source!O118+Source!X118+Source!Y118</f>
        <v>2214</v>
      </c>
      <c r="U127">
        <f>Source!P118</f>
        <v>2114</v>
      </c>
      <c r="V127">
        <f>Source!S118</f>
        <v>0</v>
      </c>
      <c r="W127">
        <f>Source!Q118</f>
        <v>71</v>
      </c>
      <c r="X127">
        <f>Source!R118</f>
        <v>13</v>
      </c>
      <c r="Y127">
        <f>Source!U118</f>
        <v>0</v>
      </c>
      <c r="Z127">
        <f>Source!V118</f>
        <v>1.1885775000000001</v>
      </c>
      <c r="AA127">
        <f>Source!X118</f>
        <v>18</v>
      </c>
      <c r="AB127">
        <f>Source!Y118</f>
        <v>11</v>
      </c>
    </row>
    <row r="128" spans="1:28" ht="14.25" x14ac:dyDescent="0.2">
      <c r="A128" s="48"/>
      <c r="B128" s="48"/>
      <c r="C128" s="55" t="str">
        <f>Source!H118</f>
        <v>1 Т</v>
      </c>
      <c r="D128" s="51"/>
      <c r="E128" s="52">
        <f>Source!AF118</f>
        <v>0</v>
      </c>
      <c r="F128" s="52">
        <f>Source!AE118</f>
        <v>8.8000000000000007</v>
      </c>
      <c r="G128" s="53"/>
      <c r="H128" s="53"/>
      <c r="I128" s="53">
        <f>Source!R118</f>
        <v>13</v>
      </c>
      <c r="J128" s="54">
        <f>Source!AI118</f>
        <v>0.82500000000000007</v>
      </c>
      <c r="K128" s="54">
        <f>Source!V118</f>
        <v>1.1885775000000001</v>
      </c>
    </row>
    <row r="129" spans="1:28" x14ac:dyDescent="0.2">
      <c r="A129" s="48"/>
      <c r="B129" s="48"/>
      <c r="C129" s="60" t="str">
        <f>"Объем: "&amp;Source!I118&amp;"="&amp;Source!I122&amp;"*"&amp;"1000*"&amp;"0,0005"</f>
        <v>Объем: 1,4407=2,8813*1000*0,0005</v>
      </c>
      <c r="D129" s="48"/>
      <c r="E129" s="48"/>
      <c r="F129" s="48"/>
      <c r="G129" s="48"/>
      <c r="H129" s="48"/>
      <c r="I129" s="48"/>
      <c r="J129" s="48"/>
      <c r="K129" s="48"/>
    </row>
    <row r="130" spans="1:28" x14ac:dyDescent="0.2">
      <c r="A130" s="48"/>
      <c r="B130" s="48"/>
      <c r="C130" s="60" t="s">
        <v>698</v>
      </c>
      <c r="D130" s="74" t="s">
        <v>11</v>
      </c>
      <c r="E130" s="74"/>
      <c r="F130" s="74"/>
      <c r="G130" s="74"/>
      <c r="H130" s="74"/>
      <c r="I130" s="74"/>
      <c r="J130" s="74"/>
      <c r="K130" s="74"/>
    </row>
    <row r="131" spans="1:28" x14ac:dyDescent="0.2">
      <c r="A131" s="48"/>
      <c r="B131" s="48"/>
      <c r="C131" s="60" t="s">
        <v>699</v>
      </c>
      <c r="D131" s="74" t="s">
        <v>11</v>
      </c>
      <c r="E131" s="74"/>
      <c r="F131" s="74"/>
      <c r="G131" s="74"/>
      <c r="H131" s="74"/>
      <c r="I131" s="74"/>
      <c r="J131" s="74"/>
      <c r="K131" s="74"/>
    </row>
    <row r="132" spans="1:28" x14ac:dyDescent="0.2">
      <c r="A132" s="48"/>
      <c r="B132" s="48"/>
      <c r="C132" s="60" t="s">
        <v>700</v>
      </c>
      <c r="D132" s="74" t="s">
        <v>12</v>
      </c>
      <c r="E132" s="74"/>
      <c r="F132" s="74"/>
      <c r="G132" s="74"/>
      <c r="H132" s="74"/>
      <c r="I132" s="74"/>
      <c r="J132" s="74"/>
      <c r="K132" s="74"/>
    </row>
    <row r="133" spans="1:28" x14ac:dyDescent="0.2">
      <c r="A133" s="48"/>
      <c r="B133" s="48"/>
      <c r="C133" s="60" t="s">
        <v>701</v>
      </c>
      <c r="D133" s="74" t="s">
        <v>12</v>
      </c>
      <c r="E133" s="74"/>
      <c r="F133" s="74"/>
      <c r="G133" s="74"/>
      <c r="H133" s="74"/>
      <c r="I133" s="74"/>
      <c r="J133" s="74"/>
      <c r="K133" s="74"/>
    </row>
    <row r="134" spans="1:28" x14ac:dyDescent="0.2">
      <c r="A134" s="48"/>
      <c r="B134" s="48"/>
      <c r="C134" s="60" t="s">
        <v>702</v>
      </c>
      <c r="D134" s="74" t="s">
        <v>11</v>
      </c>
      <c r="E134" s="74"/>
      <c r="F134" s="74"/>
      <c r="G134" s="74"/>
      <c r="H134" s="74"/>
      <c r="I134" s="74"/>
      <c r="J134" s="74"/>
      <c r="K134" s="74"/>
    </row>
    <row r="135" spans="1:28" x14ac:dyDescent="0.2">
      <c r="A135" s="48"/>
      <c r="B135" s="48"/>
      <c r="C135" s="56" t="s">
        <v>695</v>
      </c>
      <c r="D135" s="57">
        <f>Source!BZ118</f>
        <v>142</v>
      </c>
      <c r="E135" s="58">
        <f>(Source!AF118+Source!AE118)*Source!FX118/100</f>
        <v>12.496000000000002</v>
      </c>
      <c r="F135" s="57"/>
      <c r="G135" s="59">
        <f>Source!X118</f>
        <v>18</v>
      </c>
      <c r="H135" s="57" t="str">
        <f>CONCATENATE(Source!AT118)</f>
        <v>142</v>
      </c>
      <c r="I135" s="57"/>
      <c r="J135" s="57"/>
      <c r="K135" s="57"/>
    </row>
    <row r="136" spans="1:28" x14ac:dyDescent="0.2">
      <c r="A136" s="48"/>
      <c r="B136" s="48"/>
      <c r="C136" s="56" t="s">
        <v>696</v>
      </c>
      <c r="D136" s="57">
        <f>Source!CA118</f>
        <v>95</v>
      </c>
      <c r="E136" s="58">
        <f>(Source!AF118+Source!AE118)*Source!FY118/100</f>
        <v>7.1059999999999999</v>
      </c>
      <c r="F136" s="57" t="str">
        <f>CONCATENATE(Source!DM118,Source!FU118, "=", Source!FY118, "%")</f>
        <v>*0,85=80,75%</v>
      </c>
      <c r="G136" s="59">
        <f>Source!Y118</f>
        <v>11</v>
      </c>
      <c r="H136" s="57" t="str">
        <f>CONCATENATE(Source!AU118)</f>
        <v>81</v>
      </c>
      <c r="I136" s="57"/>
      <c r="J136" s="57"/>
      <c r="K136" s="57"/>
    </row>
    <row r="137" spans="1:28" x14ac:dyDescent="0.2">
      <c r="A137" s="48"/>
      <c r="B137" s="48"/>
      <c r="C137" s="56" t="s">
        <v>697</v>
      </c>
      <c r="D137" s="57"/>
      <c r="E137" s="58">
        <f>((Source!AF118+Source!AE118)*Source!FX118/100)+((Source!AF118+Source!AE118)*Source!FY118/100)+Source!AB118</f>
        <v>1536.1020000000001</v>
      </c>
      <c r="F137" s="57"/>
      <c r="G137" s="59">
        <f>Source!O118+Source!X118+Source!Y118</f>
        <v>2214</v>
      </c>
      <c r="H137" s="57"/>
      <c r="I137" s="57"/>
      <c r="J137" s="57"/>
      <c r="K137" s="57"/>
    </row>
    <row r="138" spans="1:28" ht="71.25" x14ac:dyDescent="0.2">
      <c r="A138" s="49" t="str">
        <f>Source!E119</f>
        <v>17</v>
      </c>
      <c r="B138" s="49" t="str">
        <f>Source!F119</f>
        <v>27-06-020-8</v>
      </c>
      <c r="C138" s="50" t="str">
        <f>Source!G119</f>
        <v>Устройство покрытия толщиной 4 см (5см)  из горячих асфальтобетонных смесей пористых мелкозернистых, плотность каменных материалов: 2,5-2,9 т/м3</v>
      </c>
      <c r="D138" s="51">
        <f>Source!I119</f>
        <v>2.8813</v>
      </c>
      <c r="E138" s="52">
        <f>Source!AB119</f>
        <v>44215.7</v>
      </c>
      <c r="F138" s="52">
        <f>Source!AD119</f>
        <v>2984.1</v>
      </c>
      <c r="G138" s="53">
        <f>Source!O119</f>
        <v>127399</v>
      </c>
      <c r="H138" s="53">
        <f>Source!S119</f>
        <v>994</v>
      </c>
      <c r="I138" s="53">
        <f>Source!Q119</f>
        <v>8598</v>
      </c>
      <c r="J138" s="54">
        <f>Source!AH119</f>
        <v>44.044999999999995</v>
      </c>
      <c r="K138" s="54">
        <f>Source!U119</f>
        <v>126.90685849999998</v>
      </c>
      <c r="T138">
        <f>Source!O119+Source!X119+Source!Y119</f>
        <v>131689</v>
      </c>
      <c r="U138">
        <f>Source!P119</f>
        <v>117807</v>
      </c>
      <c r="V138">
        <f>Source!S119</f>
        <v>994</v>
      </c>
      <c r="W138">
        <f>Source!Q119</f>
        <v>8598</v>
      </c>
      <c r="X138">
        <f>Source!R119</f>
        <v>930</v>
      </c>
      <c r="Y138">
        <f>Source!U119</f>
        <v>126.90685849999998</v>
      </c>
      <c r="Z138">
        <f>Source!V119</f>
        <v>68.791037500000002</v>
      </c>
      <c r="AA138">
        <f>Source!X119</f>
        <v>2732</v>
      </c>
      <c r="AB138">
        <f>Source!Y119</f>
        <v>1558</v>
      </c>
    </row>
    <row r="139" spans="1:28" ht="14.25" x14ac:dyDescent="0.2">
      <c r="A139" s="48"/>
      <c r="B139" s="48"/>
      <c r="C139" s="55" t="str">
        <f>Source!H119</f>
        <v>1000 м2 покрытия</v>
      </c>
      <c r="D139" s="51"/>
      <c r="E139" s="52">
        <f>Source!AF119</f>
        <v>344.9</v>
      </c>
      <c r="F139" s="52">
        <f>Source!AE119</f>
        <v>322.60000000000002</v>
      </c>
      <c r="G139" s="53"/>
      <c r="H139" s="53"/>
      <c r="I139" s="53">
        <f>Source!R119</f>
        <v>930</v>
      </c>
      <c r="J139" s="54">
        <f>Source!AI119</f>
        <v>23.875</v>
      </c>
      <c r="K139" s="54">
        <f>Source!V119</f>
        <v>68.791037500000002</v>
      </c>
    </row>
    <row r="140" spans="1:28" x14ac:dyDescent="0.2">
      <c r="A140" s="48"/>
      <c r="B140" s="48"/>
      <c r="C140" s="60" t="str">
        <f>"Объем: "&amp;Source!I119&amp;"=("&amp;Source!I122&amp;"*"&amp;"1000)/"&amp;"1000"</f>
        <v>Объем: 2,8813=(2,8813*1000)/1000</v>
      </c>
      <c r="D140" s="48"/>
      <c r="E140" s="48"/>
      <c r="F140" s="48"/>
      <c r="G140" s="48"/>
      <c r="H140" s="48"/>
      <c r="I140" s="48"/>
      <c r="J140" s="48"/>
      <c r="K140" s="48"/>
    </row>
    <row r="141" spans="1:28" x14ac:dyDescent="0.2">
      <c r="A141" s="48"/>
      <c r="B141" s="48"/>
      <c r="C141" s="60" t="s">
        <v>698</v>
      </c>
      <c r="D141" s="74" t="s">
        <v>61</v>
      </c>
      <c r="E141" s="74"/>
      <c r="F141" s="74"/>
      <c r="G141" s="74"/>
      <c r="H141" s="74"/>
      <c r="I141" s="74"/>
      <c r="J141" s="74"/>
      <c r="K141" s="74"/>
    </row>
    <row r="142" spans="1:28" x14ac:dyDescent="0.2">
      <c r="A142" s="48"/>
      <c r="B142" s="48"/>
      <c r="C142" s="60" t="s">
        <v>699</v>
      </c>
      <c r="D142" s="74" t="s">
        <v>61</v>
      </c>
      <c r="E142" s="74"/>
      <c r="F142" s="74"/>
      <c r="G142" s="74"/>
      <c r="H142" s="74"/>
      <c r="I142" s="74"/>
      <c r="J142" s="74"/>
      <c r="K142" s="74"/>
    </row>
    <row r="143" spans="1:28" x14ac:dyDescent="0.2">
      <c r="A143" s="48"/>
      <c r="B143" s="48"/>
      <c r="C143" s="60" t="s">
        <v>700</v>
      </c>
      <c r="D143" s="74" t="s">
        <v>62</v>
      </c>
      <c r="E143" s="74"/>
      <c r="F143" s="74"/>
      <c r="G143" s="74"/>
      <c r="H143" s="74"/>
      <c r="I143" s="74"/>
      <c r="J143" s="74"/>
      <c r="K143" s="74"/>
    </row>
    <row r="144" spans="1:28" x14ac:dyDescent="0.2">
      <c r="A144" s="48"/>
      <c r="B144" s="48"/>
      <c r="C144" s="60" t="s">
        <v>701</v>
      </c>
      <c r="D144" s="74" t="s">
        <v>62</v>
      </c>
      <c r="E144" s="74"/>
      <c r="F144" s="74"/>
      <c r="G144" s="74"/>
      <c r="H144" s="74"/>
      <c r="I144" s="74"/>
      <c r="J144" s="74"/>
      <c r="K144" s="74"/>
    </row>
    <row r="145" spans="1:28" x14ac:dyDescent="0.2">
      <c r="A145" s="48"/>
      <c r="B145" s="48"/>
      <c r="C145" s="60" t="s">
        <v>702</v>
      </c>
      <c r="D145" s="74" t="s">
        <v>61</v>
      </c>
      <c r="E145" s="74"/>
      <c r="F145" s="74"/>
      <c r="G145" s="74"/>
      <c r="H145" s="74"/>
      <c r="I145" s="74"/>
      <c r="J145" s="74"/>
      <c r="K145" s="74"/>
    </row>
    <row r="146" spans="1:28" x14ac:dyDescent="0.2">
      <c r="A146" s="48"/>
      <c r="B146" s="48"/>
      <c r="C146" s="56" t="s">
        <v>695</v>
      </c>
      <c r="D146" s="57">
        <f>Source!BZ119</f>
        <v>142</v>
      </c>
      <c r="E146" s="58">
        <f>(Source!AF119+Source!AE119)*Source!FX119/100</f>
        <v>947.85</v>
      </c>
      <c r="F146" s="57"/>
      <c r="G146" s="59">
        <f>Source!X119</f>
        <v>2732</v>
      </c>
      <c r="H146" s="57" t="str">
        <f>CONCATENATE(Source!AT119)</f>
        <v>142</v>
      </c>
      <c r="I146" s="57"/>
      <c r="J146" s="57"/>
      <c r="K146" s="57"/>
    </row>
    <row r="147" spans="1:28" x14ac:dyDescent="0.2">
      <c r="A147" s="48"/>
      <c r="B147" s="48"/>
      <c r="C147" s="56" t="s">
        <v>696</v>
      </c>
      <c r="D147" s="57">
        <f>Source!CA119</f>
        <v>95</v>
      </c>
      <c r="E147" s="58">
        <f>(Source!AF119+Source!AE119)*Source!FY119/100</f>
        <v>539.00625000000002</v>
      </c>
      <c r="F147" s="57" t="str">
        <f>CONCATENATE(Source!DM119,Source!FU119, "=", Source!FY119, "%")</f>
        <v>*0,85=80,75%</v>
      </c>
      <c r="G147" s="59">
        <f>Source!Y119</f>
        <v>1558</v>
      </c>
      <c r="H147" s="57" t="str">
        <f>CONCATENATE(Source!AU119)</f>
        <v>81</v>
      </c>
      <c r="I147" s="57"/>
      <c r="J147" s="57"/>
      <c r="K147" s="57"/>
    </row>
    <row r="148" spans="1:28" x14ac:dyDescent="0.2">
      <c r="A148" s="48"/>
      <c r="B148" s="48"/>
      <c r="C148" s="56" t="s">
        <v>697</v>
      </c>
      <c r="D148" s="57"/>
      <c r="E148" s="58">
        <f>((Source!AF119+Source!AE119)*Source!FX119/100)+((Source!AF119+Source!AE119)*Source!FY119/100)+Source!AB119</f>
        <v>45702.556249999994</v>
      </c>
      <c r="F148" s="57"/>
      <c r="G148" s="59">
        <f>Source!O119+Source!X119+Source!Y119</f>
        <v>131689</v>
      </c>
      <c r="H148" s="57"/>
      <c r="I148" s="57"/>
      <c r="J148" s="57"/>
      <c r="K148" s="57"/>
    </row>
    <row r="149" spans="1:28" ht="42.75" x14ac:dyDescent="0.2">
      <c r="A149" s="49" t="str">
        <f>Source!E120</f>
        <v>18</v>
      </c>
      <c r="B149" s="49" t="str">
        <f>Source!F120</f>
        <v>27-06-021-8</v>
      </c>
      <c r="C149" s="50" t="str">
        <f>Source!G120</f>
        <v>На каждые 0,5 см изменения толщины покрытия добавлять или исключать: к расценке 27-06-020-08</v>
      </c>
      <c r="D149" s="51">
        <f>Source!I120</f>
        <v>2.8813</v>
      </c>
      <c r="E149" s="52">
        <f>Source!AB120</f>
        <v>10123</v>
      </c>
      <c r="F149" s="52">
        <f>Source!AD120</f>
        <v>0</v>
      </c>
      <c r="G149" s="53">
        <f>Source!O120</f>
        <v>29168</v>
      </c>
      <c r="H149" s="53">
        <f>Source!S120</f>
        <v>5</v>
      </c>
      <c r="I149" s="53">
        <f>Source!Q120</f>
        <v>0</v>
      </c>
      <c r="J149" s="54">
        <f>Source!AH120</f>
        <v>0.20699999999999999</v>
      </c>
      <c r="K149" s="54">
        <f>Source!U120</f>
        <v>0.59642909999999993</v>
      </c>
      <c r="T149">
        <f>Source!O120+Source!X120+Source!Y120</f>
        <v>29179</v>
      </c>
      <c r="U149">
        <f>Source!P120</f>
        <v>29163</v>
      </c>
      <c r="V149">
        <f>Source!S120</f>
        <v>5</v>
      </c>
      <c r="W149">
        <f>Source!Q120</f>
        <v>0</v>
      </c>
      <c r="X149">
        <f>Source!R120</f>
        <v>0</v>
      </c>
      <c r="Y149">
        <f>Source!U120</f>
        <v>0.59642909999999993</v>
      </c>
      <c r="Z149">
        <f>Source!V120</f>
        <v>0</v>
      </c>
      <c r="AA149">
        <f>Source!X120</f>
        <v>7</v>
      </c>
      <c r="AB149">
        <f>Source!Y120</f>
        <v>4</v>
      </c>
    </row>
    <row r="150" spans="1:28" ht="14.25" x14ac:dyDescent="0.2">
      <c r="A150" s="48"/>
      <c r="B150" s="48"/>
      <c r="C150" s="55" t="str">
        <f>Source!H120</f>
        <v>1000 м2 покрытия</v>
      </c>
      <c r="D150" s="51"/>
      <c r="E150" s="52">
        <f>Source!AF120</f>
        <v>1.6</v>
      </c>
      <c r="F150" s="52">
        <f>Source!AE120</f>
        <v>0</v>
      </c>
      <c r="G150" s="53"/>
      <c r="H150" s="53"/>
      <c r="I150" s="53">
        <f>Source!R120</f>
        <v>0</v>
      </c>
      <c r="J150" s="54">
        <f>Source!AI120</f>
        <v>0</v>
      </c>
      <c r="K150" s="54">
        <f>Source!V120</f>
        <v>0</v>
      </c>
    </row>
    <row r="151" spans="1:28" x14ac:dyDescent="0.2">
      <c r="A151" s="48"/>
      <c r="B151" s="48"/>
      <c r="C151" s="60" t="str">
        <f>"Объем: "&amp;Source!I120&amp;"=("&amp;Source!I119&amp;"*"&amp;"1000)/"&amp;"1000"</f>
        <v>Объем: 2,8813=(2,8813*1000)/1000</v>
      </c>
      <c r="D151" s="48"/>
      <c r="E151" s="48"/>
      <c r="F151" s="48"/>
      <c r="G151" s="48"/>
      <c r="H151" s="48"/>
      <c r="I151" s="48"/>
      <c r="J151" s="48"/>
      <c r="K151" s="48"/>
    </row>
    <row r="152" spans="1:28" x14ac:dyDescent="0.2">
      <c r="A152" s="48"/>
      <c r="B152" s="48"/>
      <c r="C152" s="60" t="s">
        <v>703</v>
      </c>
      <c r="D152" s="74" t="s">
        <v>179</v>
      </c>
      <c r="E152" s="74"/>
      <c r="F152" s="74"/>
      <c r="G152" s="74"/>
      <c r="H152" s="74"/>
      <c r="I152" s="74"/>
      <c r="J152" s="74"/>
      <c r="K152" s="74"/>
    </row>
    <row r="153" spans="1:28" x14ac:dyDescent="0.2">
      <c r="A153" s="48"/>
      <c r="B153" s="48"/>
      <c r="C153" s="60" t="s">
        <v>698</v>
      </c>
      <c r="D153" s="74" t="s">
        <v>180</v>
      </c>
      <c r="E153" s="74"/>
      <c r="F153" s="74"/>
      <c r="G153" s="74"/>
      <c r="H153" s="74"/>
      <c r="I153" s="74"/>
      <c r="J153" s="74"/>
      <c r="K153" s="74"/>
    </row>
    <row r="154" spans="1:28" x14ac:dyDescent="0.2">
      <c r="A154" s="48"/>
      <c r="B154" s="48"/>
      <c r="C154" s="60" t="s">
        <v>699</v>
      </c>
      <c r="D154" s="74" t="s">
        <v>180</v>
      </c>
      <c r="E154" s="74"/>
      <c r="F154" s="74"/>
      <c r="G154" s="74"/>
      <c r="H154" s="74"/>
      <c r="I154" s="74"/>
      <c r="J154" s="74"/>
      <c r="K154" s="74"/>
    </row>
    <row r="155" spans="1:28" x14ac:dyDescent="0.2">
      <c r="A155" s="48"/>
      <c r="B155" s="48"/>
      <c r="C155" s="60" t="s">
        <v>700</v>
      </c>
      <c r="D155" s="74" t="s">
        <v>181</v>
      </c>
      <c r="E155" s="74"/>
      <c r="F155" s="74"/>
      <c r="G155" s="74"/>
      <c r="H155" s="74"/>
      <c r="I155" s="74"/>
      <c r="J155" s="74"/>
      <c r="K155" s="74"/>
    </row>
    <row r="156" spans="1:28" x14ac:dyDescent="0.2">
      <c r="A156" s="48"/>
      <c r="B156" s="48"/>
      <c r="C156" s="60" t="s">
        <v>701</v>
      </c>
      <c r="D156" s="74" t="s">
        <v>181</v>
      </c>
      <c r="E156" s="74"/>
      <c r="F156" s="74"/>
      <c r="G156" s="74"/>
      <c r="H156" s="74"/>
      <c r="I156" s="74"/>
      <c r="J156" s="74"/>
      <c r="K156" s="74"/>
    </row>
    <row r="157" spans="1:28" x14ac:dyDescent="0.2">
      <c r="A157" s="48"/>
      <c r="B157" s="48"/>
      <c r="C157" s="60" t="s">
        <v>702</v>
      </c>
      <c r="D157" s="74" t="s">
        <v>180</v>
      </c>
      <c r="E157" s="74"/>
      <c r="F157" s="74"/>
      <c r="G157" s="74"/>
      <c r="H157" s="74"/>
      <c r="I157" s="74"/>
      <c r="J157" s="74"/>
      <c r="K157" s="74"/>
    </row>
    <row r="158" spans="1:28" x14ac:dyDescent="0.2">
      <c r="A158" s="48"/>
      <c r="B158" s="48"/>
      <c r="C158" s="56" t="s">
        <v>695</v>
      </c>
      <c r="D158" s="57">
        <f>Source!BZ120</f>
        <v>142</v>
      </c>
      <c r="E158" s="58">
        <f>(Source!AF120+Source!AE120)*Source!FX120/100</f>
        <v>2.2720000000000002</v>
      </c>
      <c r="F158" s="57"/>
      <c r="G158" s="59">
        <f>Source!X120</f>
        <v>7</v>
      </c>
      <c r="H158" s="57" t="str">
        <f>CONCATENATE(Source!AT120)</f>
        <v>142</v>
      </c>
      <c r="I158" s="57"/>
      <c r="J158" s="57"/>
      <c r="K158" s="57"/>
    </row>
    <row r="159" spans="1:28" x14ac:dyDescent="0.2">
      <c r="A159" s="48"/>
      <c r="B159" s="48"/>
      <c r="C159" s="56" t="s">
        <v>696</v>
      </c>
      <c r="D159" s="57">
        <f>Source!CA120</f>
        <v>95</v>
      </c>
      <c r="E159" s="58">
        <f>(Source!AF120+Source!AE120)*Source!FY120/100</f>
        <v>1.2920000000000003</v>
      </c>
      <c r="F159" s="57" t="str">
        <f>CONCATENATE(Source!DM120,Source!FU120, "=", Source!FY120, "%")</f>
        <v>*0,85=80,75%</v>
      </c>
      <c r="G159" s="59">
        <f>Source!Y120</f>
        <v>4</v>
      </c>
      <c r="H159" s="57" t="str">
        <f>CONCATENATE(Source!AU120)</f>
        <v>81</v>
      </c>
      <c r="I159" s="57"/>
      <c r="J159" s="57"/>
      <c r="K159" s="57"/>
    </row>
    <row r="160" spans="1:28" x14ac:dyDescent="0.2">
      <c r="A160" s="48"/>
      <c r="B160" s="48"/>
      <c r="C160" s="56" t="s">
        <v>697</v>
      </c>
      <c r="D160" s="57"/>
      <c r="E160" s="58">
        <f>((Source!AF120+Source!AE120)*Source!FX120/100)+((Source!AF120+Source!AE120)*Source!FY120/100)+Source!AB120</f>
        <v>10126.564</v>
      </c>
      <c r="F160" s="57"/>
      <c r="G160" s="59">
        <f>Source!O120+Source!X120+Source!Y120</f>
        <v>29179</v>
      </c>
      <c r="H160" s="57"/>
      <c r="I160" s="57"/>
      <c r="J160" s="57"/>
      <c r="K160" s="57"/>
    </row>
    <row r="161" spans="1:28" ht="14.25" x14ac:dyDescent="0.2">
      <c r="A161" s="49" t="str">
        <f>Source!E121</f>
        <v>19</v>
      </c>
      <c r="B161" s="49" t="str">
        <f>Source!F121</f>
        <v>27-06-026-1</v>
      </c>
      <c r="C161" s="50" t="str">
        <f>Source!G121</f>
        <v>Розлив вяжущих материалов</v>
      </c>
      <c r="D161" s="51">
        <f>Source!I121</f>
        <v>0.86439999999999995</v>
      </c>
      <c r="E161" s="52">
        <f>Source!AB121</f>
        <v>1516.5</v>
      </c>
      <c r="F161" s="52">
        <f>Source!AD121</f>
        <v>49.4</v>
      </c>
      <c r="G161" s="53">
        <f>Source!O121</f>
        <v>1311</v>
      </c>
      <c r="H161" s="53">
        <f>Source!S121</f>
        <v>0</v>
      </c>
      <c r="I161" s="53">
        <f>Source!Q121</f>
        <v>43</v>
      </c>
      <c r="J161" s="54">
        <f>Source!AH121</f>
        <v>0</v>
      </c>
      <c r="K161" s="54">
        <f>Source!U121</f>
        <v>0</v>
      </c>
      <c r="T161">
        <f>Source!O121+Source!X121+Source!Y121</f>
        <v>1328</v>
      </c>
      <c r="U161">
        <f>Source!P121</f>
        <v>1268</v>
      </c>
      <c r="V161">
        <f>Source!S121</f>
        <v>0</v>
      </c>
      <c r="W161">
        <f>Source!Q121</f>
        <v>43</v>
      </c>
      <c r="X161">
        <f>Source!R121</f>
        <v>8</v>
      </c>
      <c r="Y161">
        <f>Source!U121</f>
        <v>0</v>
      </c>
      <c r="Z161">
        <f>Source!V121</f>
        <v>0.71313000000000004</v>
      </c>
      <c r="AA161">
        <f>Source!X121</f>
        <v>11</v>
      </c>
      <c r="AB161">
        <f>Source!Y121</f>
        <v>6</v>
      </c>
    </row>
    <row r="162" spans="1:28" ht="14.25" x14ac:dyDescent="0.2">
      <c r="A162" s="48"/>
      <c r="B162" s="48"/>
      <c r="C162" s="55" t="str">
        <f>Source!H121</f>
        <v>1 Т</v>
      </c>
      <c r="D162" s="51"/>
      <c r="E162" s="52">
        <f>Source!AF121</f>
        <v>0</v>
      </c>
      <c r="F162" s="52">
        <f>Source!AE121</f>
        <v>8.8000000000000007</v>
      </c>
      <c r="G162" s="53"/>
      <c r="H162" s="53"/>
      <c r="I162" s="53">
        <f>Source!R121</f>
        <v>8</v>
      </c>
      <c r="J162" s="54">
        <f>Source!AI121</f>
        <v>0.82500000000000007</v>
      </c>
      <c r="K162" s="54">
        <f>Source!V121</f>
        <v>0.71313000000000004</v>
      </c>
    </row>
    <row r="163" spans="1:28" x14ac:dyDescent="0.2">
      <c r="A163" s="48"/>
      <c r="B163" s="48"/>
      <c r="C163" s="60" t="str">
        <f>"Объем: "&amp;Source!I121&amp;"="&amp;Source!I122&amp;"*"&amp;"1000*"&amp;"0,0003"</f>
        <v>Объем: 0,8644=2,8813*1000*0,0003</v>
      </c>
      <c r="D163" s="48"/>
      <c r="E163" s="48"/>
      <c r="F163" s="48"/>
      <c r="G163" s="48"/>
      <c r="H163" s="48"/>
      <c r="I163" s="48"/>
      <c r="J163" s="48"/>
      <c r="K163" s="48"/>
    </row>
    <row r="164" spans="1:28" x14ac:dyDescent="0.2">
      <c r="A164" s="48"/>
      <c r="B164" s="48"/>
      <c r="C164" s="60" t="s">
        <v>698</v>
      </c>
      <c r="D164" s="74" t="s">
        <v>11</v>
      </c>
      <c r="E164" s="74"/>
      <c r="F164" s="74"/>
      <c r="G164" s="74"/>
      <c r="H164" s="74"/>
      <c r="I164" s="74"/>
      <c r="J164" s="74"/>
      <c r="K164" s="74"/>
    </row>
    <row r="165" spans="1:28" x14ac:dyDescent="0.2">
      <c r="A165" s="48"/>
      <c r="B165" s="48"/>
      <c r="C165" s="60" t="s">
        <v>699</v>
      </c>
      <c r="D165" s="74" t="s">
        <v>11</v>
      </c>
      <c r="E165" s="74"/>
      <c r="F165" s="74"/>
      <c r="G165" s="74"/>
      <c r="H165" s="74"/>
      <c r="I165" s="74"/>
      <c r="J165" s="74"/>
      <c r="K165" s="74"/>
    </row>
    <row r="166" spans="1:28" x14ac:dyDescent="0.2">
      <c r="A166" s="48"/>
      <c r="B166" s="48"/>
      <c r="C166" s="60" t="s">
        <v>700</v>
      </c>
      <c r="D166" s="74" t="s">
        <v>12</v>
      </c>
      <c r="E166" s="74"/>
      <c r="F166" s="74"/>
      <c r="G166" s="74"/>
      <c r="H166" s="74"/>
      <c r="I166" s="74"/>
      <c r="J166" s="74"/>
      <c r="K166" s="74"/>
    </row>
    <row r="167" spans="1:28" x14ac:dyDescent="0.2">
      <c r="A167" s="48"/>
      <c r="B167" s="48"/>
      <c r="C167" s="60" t="s">
        <v>701</v>
      </c>
      <c r="D167" s="74" t="s">
        <v>12</v>
      </c>
      <c r="E167" s="74"/>
      <c r="F167" s="74"/>
      <c r="G167" s="74"/>
      <c r="H167" s="74"/>
      <c r="I167" s="74"/>
      <c r="J167" s="74"/>
      <c r="K167" s="74"/>
    </row>
    <row r="168" spans="1:28" x14ac:dyDescent="0.2">
      <c r="A168" s="48"/>
      <c r="B168" s="48"/>
      <c r="C168" s="60" t="s">
        <v>702</v>
      </c>
      <c r="D168" s="74" t="s">
        <v>11</v>
      </c>
      <c r="E168" s="74"/>
      <c r="F168" s="74"/>
      <c r="G168" s="74"/>
      <c r="H168" s="74"/>
      <c r="I168" s="74"/>
      <c r="J168" s="74"/>
      <c r="K168" s="74"/>
    </row>
    <row r="169" spans="1:28" x14ac:dyDescent="0.2">
      <c r="A169" s="48"/>
      <c r="B169" s="48"/>
      <c r="C169" s="56" t="s">
        <v>695</v>
      </c>
      <c r="D169" s="57">
        <f>Source!BZ121</f>
        <v>142</v>
      </c>
      <c r="E169" s="58">
        <f>(Source!AF121+Source!AE121)*Source!FX121/100</f>
        <v>12.496000000000002</v>
      </c>
      <c r="F169" s="57"/>
      <c r="G169" s="59">
        <f>Source!X121</f>
        <v>11</v>
      </c>
      <c r="H169" s="57" t="str">
        <f>CONCATENATE(Source!AT121)</f>
        <v>142</v>
      </c>
      <c r="I169" s="57"/>
      <c r="J169" s="57"/>
      <c r="K169" s="57"/>
    </row>
    <row r="170" spans="1:28" x14ac:dyDescent="0.2">
      <c r="A170" s="48"/>
      <c r="B170" s="48"/>
      <c r="C170" s="56" t="s">
        <v>696</v>
      </c>
      <c r="D170" s="57">
        <f>Source!CA121</f>
        <v>95</v>
      </c>
      <c r="E170" s="58">
        <f>(Source!AF121+Source!AE121)*Source!FY121/100</f>
        <v>7.1059999999999999</v>
      </c>
      <c r="F170" s="57" t="str">
        <f>CONCATENATE(Source!DM121,Source!FU121, "=", Source!FY121, "%")</f>
        <v>*0,85=80,75%</v>
      </c>
      <c r="G170" s="59">
        <f>Source!Y121</f>
        <v>6</v>
      </c>
      <c r="H170" s="57" t="str">
        <f>CONCATENATE(Source!AU121)</f>
        <v>81</v>
      </c>
      <c r="I170" s="57"/>
      <c r="J170" s="57"/>
      <c r="K170" s="57"/>
    </row>
    <row r="171" spans="1:28" x14ac:dyDescent="0.2">
      <c r="A171" s="48"/>
      <c r="B171" s="48"/>
      <c r="C171" s="56" t="s">
        <v>697</v>
      </c>
      <c r="D171" s="57"/>
      <c r="E171" s="58">
        <f>((Source!AF121+Source!AE121)*Source!FX121/100)+((Source!AF121+Source!AE121)*Source!FY121/100)+Source!AB121</f>
        <v>1536.1020000000001</v>
      </c>
      <c r="F171" s="57"/>
      <c r="G171" s="59">
        <f>Source!O121+Source!X121+Source!Y121</f>
        <v>1328</v>
      </c>
      <c r="H171" s="57"/>
      <c r="I171" s="57"/>
      <c r="J171" s="57"/>
      <c r="K171" s="57"/>
    </row>
    <row r="172" spans="1:28" ht="71.25" x14ac:dyDescent="0.2">
      <c r="A172" s="49" t="str">
        <f>Source!E122</f>
        <v>20</v>
      </c>
      <c r="B172" s="49" t="str">
        <f>Source!F122</f>
        <v>27-06-020-1</v>
      </c>
      <c r="C172" s="50" t="str">
        <f>Source!G122</f>
        <v>Устройство покрытия толщиной 4 см (5см ) из горячих асфальтобетонных смесей плотных мелкозернистых типа АБВ, плотность каменных материалов: 2,5-2,9 т/м3</v>
      </c>
      <c r="D172" s="51">
        <f>Source!I122</f>
        <v>2.8813</v>
      </c>
      <c r="E172" s="52">
        <f>Source!AB122</f>
        <v>44333.1</v>
      </c>
      <c r="F172" s="52">
        <f>Source!AD122</f>
        <v>2976.9</v>
      </c>
      <c r="G172" s="53">
        <f>Source!O122</f>
        <v>127737</v>
      </c>
      <c r="H172" s="53">
        <f>Source!S122</f>
        <v>994</v>
      </c>
      <c r="I172" s="53">
        <f>Source!Q122</f>
        <v>8577</v>
      </c>
      <c r="J172" s="54">
        <f>Source!AH122</f>
        <v>44.044999999999995</v>
      </c>
      <c r="K172" s="54">
        <f>Source!U122</f>
        <v>126.90685849999998</v>
      </c>
      <c r="T172">
        <f>Source!O122+Source!X122+Source!Y122</f>
        <v>132023</v>
      </c>
      <c r="U172">
        <f>Source!P122</f>
        <v>118166</v>
      </c>
      <c r="V172">
        <f>Source!S122</f>
        <v>994</v>
      </c>
      <c r="W172">
        <f>Source!Q122</f>
        <v>8577</v>
      </c>
      <c r="X172">
        <f>Source!R122</f>
        <v>928</v>
      </c>
      <c r="Y172">
        <f>Source!U122</f>
        <v>126.90685849999998</v>
      </c>
      <c r="Z172">
        <f>Source!V122</f>
        <v>68.719004999999996</v>
      </c>
      <c r="AA172">
        <f>Source!X122</f>
        <v>2729</v>
      </c>
      <c r="AB172">
        <f>Source!Y122</f>
        <v>1557</v>
      </c>
    </row>
    <row r="173" spans="1:28" ht="14.25" x14ac:dyDescent="0.2">
      <c r="A173" s="48"/>
      <c r="B173" s="48"/>
      <c r="C173" s="55" t="str">
        <f>Source!H122</f>
        <v>1000 м2 покрытия</v>
      </c>
      <c r="D173" s="51"/>
      <c r="E173" s="52">
        <f>Source!AF122</f>
        <v>344.9</v>
      </c>
      <c r="F173" s="52">
        <f>Source!AE122</f>
        <v>322.2</v>
      </c>
      <c r="G173" s="53"/>
      <c r="H173" s="53"/>
      <c r="I173" s="53">
        <f>Source!R122</f>
        <v>928</v>
      </c>
      <c r="J173" s="54">
        <f>Source!AI122</f>
        <v>23.849999999999998</v>
      </c>
      <c r="K173" s="54">
        <f>Source!V122</f>
        <v>68.719004999999996</v>
      </c>
    </row>
    <row r="174" spans="1:28" x14ac:dyDescent="0.2">
      <c r="A174" s="48"/>
      <c r="B174" s="48"/>
      <c r="C174" s="60" t="str">
        <f>"Объем: "&amp;Source!I122&amp;"=2881,27/"&amp;"1000"</f>
        <v>Объем: 2,8813=2881,27/1000</v>
      </c>
      <c r="D174" s="48"/>
      <c r="E174" s="48"/>
      <c r="F174" s="48"/>
      <c r="G174" s="48"/>
      <c r="H174" s="48"/>
      <c r="I174" s="48"/>
      <c r="J174" s="48"/>
      <c r="K174" s="48"/>
    </row>
    <row r="175" spans="1:28" x14ac:dyDescent="0.2">
      <c r="A175" s="48"/>
      <c r="B175" s="48"/>
      <c r="C175" s="60" t="s">
        <v>698</v>
      </c>
      <c r="D175" s="74" t="s">
        <v>11</v>
      </c>
      <c r="E175" s="74"/>
      <c r="F175" s="74"/>
      <c r="G175" s="74"/>
      <c r="H175" s="74"/>
      <c r="I175" s="74"/>
      <c r="J175" s="74"/>
      <c r="K175" s="74"/>
    </row>
    <row r="176" spans="1:28" x14ac:dyDescent="0.2">
      <c r="A176" s="48"/>
      <c r="B176" s="48"/>
      <c r="C176" s="60" t="s">
        <v>699</v>
      </c>
      <c r="D176" s="74" t="s">
        <v>11</v>
      </c>
      <c r="E176" s="74"/>
      <c r="F176" s="74"/>
      <c r="G176" s="74"/>
      <c r="H176" s="74"/>
      <c r="I176" s="74"/>
      <c r="J176" s="74"/>
      <c r="K176" s="74"/>
    </row>
    <row r="177" spans="1:28" x14ac:dyDescent="0.2">
      <c r="A177" s="48"/>
      <c r="B177" s="48"/>
      <c r="C177" s="60" t="s">
        <v>700</v>
      </c>
      <c r="D177" s="74" t="s">
        <v>12</v>
      </c>
      <c r="E177" s="74"/>
      <c r="F177" s="74"/>
      <c r="G177" s="74"/>
      <c r="H177" s="74"/>
      <c r="I177" s="74"/>
      <c r="J177" s="74"/>
      <c r="K177" s="74"/>
    </row>
    <row r="178" spans="1:28" x14ac:dyDescent="0.2">
      <c r="A178" s="48"/>
      <c r="B178" s="48"/>
      <c r="C178" s="60" t="s">
        <v>701</v>
      </c>
      <c r="D178" s="74" t="s">
        <v>12</v>
      </c>
      <c r="E178" s="74"/>
      <c r="F178" s="74"/>
      <c r="G178" s="74"/>
      <c r="H178" s="74"/>
      <c r="I178" s="74"/>
      <c r="J178" s="74"/>
      <c r="K178" s="74"/>
    </row>
    <row r="179" spans="1:28" x14ac:dyDescent="0.2">
      <c r="A179" s="48"/>
      <c r="B179" s="48"/>
      <c r="C179" s="60" t="s">
        <v>702</v>
      </c>
      <c r="D179" s="74" t="s">
        <v>11</v>
      </c>
      <c r="E179" s="74"/>
      <c r="F179" s="74"/>
      <c r="G179" s="74"/>
      <c r="H179" s="74"/>
      <c r="I179" s="74"/>
      <c r="J179" s="74"/>
      <c r="K179" s="74"/>
    </row>
    <row r="180" spans="1:28" x14ac:dyDescent="0.2">
      <c r="A180" s="48"/>
      <c r="B180" s="48"/>
      <c r="C180" s="56" t="s">
        <v>695</v>
      </c>
      <c r="D180" s="57">
        <f>Source!BZ122</f>
        <v>142</v>
      </c>
      <c r="E180" s="58">
        <f>(Source!AF122+Source!AE122)*Source!FX122/100</f>
        <v>947.28199999999981</v>
      </c>
      <c r="F180" s="57"/>
      <c r="G180" s="59">
        <f>Source!X122</f>
        <v>2729</v>
      </c>
      <c r="H180" s="57" t="str">
        <f>CONCATENATE(Source!AT122)</f>
        <v>142</v>
      </c>
      <c r="I180" s="57"/>
      <c r="J180" s="57"/>
      <c r="K180" s="57"/>
    </row>
    <row r="181" spans="1:28" x14ac:dyDescent="0.2">
      <c r="A181" s="48"/>
      <c r="B181" s="48"/>
      <c r="C181" s="56" t="s">
        <v>696</v>
      </c>
      <c r="D181" s="57">
        <f>Source!CA122</f>
        <v>95</v>
      </c>
      <c r="E181" s="58">
        <f>(Source!AF122+Source!AE122)*Source!FY122/100</f>
        <v>538.68324999999993</v>
      </c>
      <c r="F181" s="57" t="str">
        <f>CONCATENATE(Source!DM122,Source!FU122, "=", Source!FY122, "%")</f>
        <v>*0,85=80,75%</v>
      </c>
      <c r="G181" s="59">
        <f>Source!Y122</f>
        <v>1557</v>
      </c>
      <c r="H181" s="57" t="str">
        <f>CONCATENATE(Source!AU122)</f>
        <v>81</v>
      </c>
      <c r="I181" s="57"/>
      <c r="J181" s="57"/>
      <c r="K181" s="57"/>
    </row>
    <row r="182" spans="1:28" x14ac:dyDescent="0.2">
      <c r="A182" s="48"/>
      <c r="B182" s="48"/>
      <c r="C182" s="56" t="s">
        <v>697</v>
      </c>
      <c r="D182" s="57"/>
      <c r="E182" s="58">
        <f>((Source!AF122+Source!AE122)*Source!FX122/100)+((Source!AF122+Source!AE122)*Source!FY122/100)+Source!AB122</f>
        <v>45819.06525</v>
      </c>
      <c r="F182" s="57"/>
      <c r="G182" s="59">
        <f>Source!O122+Source!X122+Source!Y122</f>
        <v>132023</v>
      </c>
      <c r="H182" s="57"/>
      <c r="I182" s="57"/>
      <c r="J182" s="57"/>
      <c r="K182" s="57"/>
    </row>
    <row r="183" spans="1:28" ht="99.75" x14ac:dyDescent="0.2">
      <c r="A183" s="49" t="str">
        <f>Source!E123</f>
        <v>20,1</v>
      </c>
      <c r="B183" s="49" t="str">
        <f>Source!F123</f>
        <v>410-0005</v>
      </c>
      <c r="C183" s="50" t="s">
        <v>704</v>
      </c>
      <c r="D183" s="51">
        <f>Source!I123</f>
        <v>-278.33357999999998</v>
      </c>
      <c r="E183" s="52">
        <f>Source!AB123</f>
        <v>422.2</v>
      </c>
      <c r="F183" s="52">
        <f>Source!AD123</f>
        <v>0</v>
      </c>
      <c r="G183" s="53">
        <f>Source!O123</f>
        <v>-117512</v>
      </c>
      <c r="H183" s="53">
        <f>Source!S123</f>
        <v>0</v>
      </c>
      <c r="I183" s="53">
        <f>Source!Q123</f>
        <v>0</v>
      </c>
      <c r="J183" s="54">
        <f>Source!AH123</f>
        <v>0</v>
      </c>
      <c r="K183" s="54">
        <f>Source!U123</f>
        <v>0</v>
      </c>
      <c r="T183">
        <f>Source!O123+Source!X123+Source!Y123</f>
        <v>-117512</v>
      </c>
      <c r="U183">
        <f>Source!P123</f>
        <v>-117512</v>
      </c>
      <c r="V183">
        <f>Source!S123</f>
        <v>0</v>
      </c>
      <c r="W183">
        <f>Source!Q123</f>
        <v>0</v>
      </c>
      <c r="X183">
        <f>Source!R123</f>
        <v>0</v>
      </c>
      <c r="Y183">
        <f>Source!U123</f>
        <v>0</v>
      </c>
      <c r="Z183">
        <f>Source!V123</f>
        <v>0</v>
      </c>
      <c r="AA183">
        <f>Source!X123</f>
        <v>0</v>
      </c>
      <c r="AB183">
        <f>Source!Y123</f>
        <v>0</v>
      </c>
    </row>
    <row r="184" spans="1:28" ht="14.25" x14ac:dyDescent="0.2">
      <c r="A184" s="48"/>
      <c r="B184" s="48"/>
      <c r="C184" s="55" t="str">
        <f>Source!H123</f>
        <v>т</v>
      </c>
      <c r="D184" s="51"/>
      <c r="E184" s="52">
        <f>Source!AF123</f>
        <v>0</v>
      </c>
      <c r="F184" s="52">
        <f>Source!AE123</f>
        <v>0</v>
      </c>
      <c r="G184" s="53"/>
      <c r="H184" s="53"/>
      <c r="I184" s="53">
        <f>Source!R123</f>
        <v>0</v>
      </c>
      <c r="J184" s="54">
        <f>Source!AI123</f>
        <v>0</v>
      </c>
      <c r="K184" s="54">
        <f>Source!V123</f>
        <v>0</v>
      </c>
    </row>
    <row r="185" spans="1:28" ht="85.5" x14ac:dyDescent="0.2">
      <c r="A185" s="49" t="str">
        <f>Source!E124</f>
        <v>20,2</v>
      </c>
      <c r="B185" s="49" t="str">
        <f>Source!F124</f>
        <v>410-0007</v>
      </c>
      <c r="C185" s="50" t="str">
        <f>Source!G124</f>
        <v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v>
      </c>
      <c r="D185" s="51">
        <f>Source!I124</f>
        <v>278.33357999999998</v>
      </c>
      <c r="E185" s="52">
        <f>Source!AB124</f>
        <v>444.5</v>
      </c>
      <c r="F185" s="52">
        <f>Source!AD124</f>
        <v>0</v>
      </c>
      <c r="G185" s="53">
        <f>Source!O124</f>
        <v>123719</v>
      </c>
      <c r="H185" s="53">
        <f>Source!S124</f>
        <v>0</v>
      </c>
      <c r="I185" s="53">
        <f>Source!Q124</f>
        <v>0</v>
      </c>
      <c r="J185" s="54">
        <f>Source!AH124</f>
        <v>0</v>
      </c>
      <c r="K185" s="54">
        <f>Source!U124</f>
        <v>0</v>
      </c>
      <c r="T185">
        <f>Source!O124+Source!X124+Source!Y124</f>
        <v>123719</v>
      </c>
      <c r="U185">
        <f>Source!P124</f>
        <v>123719</v>
      </c>
      <c r="V185">
        <f>Source!S124</f>
        <v>0</v>
      </c>
      <c r="W185">
        <f>Source!Q124</f>
        <v>0</v>
      </c>
      <c r="X185">
        <f>Source!R124</f>
        <v>0</v>
      </c>
      <c r="Y185">
        <f>Source!U124</f>
        <v>0</v>
      </c>
      <c r="Z185">
        <f>Source!V124</f>
        <v>0</v>
      </c>
      <c r="AA185">
        <f>Source!X124</f>
        <v>0</v>
      </c>
      <c r="AB185">
        <f>Source!Y124</f>
        <v>0</v>
      </c>
    </row>
    <row r="186" spans="1:28" ht="14.25" x14ac:dyDescent="0.2">
      <c r="A186" s="48"/>
      <c r="B186" s="48"/>
      <c r="C186" s="55" t="str">
        <f>Source!H124</f>
        <v>т</v>
      </c>
      <c r="D186" s="51"/>
      <c r="E186" s="52">
        <f>Source!AF124</f>
        <v>0</v>
      </c>
      <c r="F186" s="52">
        <f>Source!AE124</f>
        <v>0</v>
      </c>
      <c r="G186" s="53"/>
      <c r="H186" s="53"/>
      <c r="I186" s="53">
        <f>Source!R124</f>
        <v>0</v>
      </c>
      <c r="J186" s="54">
        <f>Source!AI124</f>
        <v>0</v>
      </c>
      <c r="K186" s="54">
        <f>Source!V124</f>
        <v>0</v>
      </c>
    </row>
    <row r="187" spans="1:28" ht="42.75" x14ac:dyDescent="0.2">
      <c r="A187" s="49" t="str">
        <f>Source!E125</f>
        <v>21</v>
      </c>
      <c r="B187" s="49" t="str">
        <f>Source!F125</f>
        <v>27-06-021-1</v>
      </c>
      <c r="C187" s="50" t="str">
        <f>Source!G125</f>
        <v>На каждые 0,5 см изменения толщины покрытия добавлять или исключать: к расценке 27-06-020-01</v>
      </c>
      <c r="D187" s="51">
        <f>Source!I125</f>
        <v>2.8813</v>
      </c>
      <c r="E187" s="52">
        <f>Source!AB125</f>
        <v>10231</v>
      </c>
      <c r="F187" s="52">
        <f>Source!AD125</f>
        <v>7.8</v>
      </c>
      <c r="G187" s="53">
        <f>Source!O125</f>
        <v>29478</v>
      </c>
      <c r="H187" s="53">
        <f>Source!S125</f>
        <v>5</v>
      </c>
      <c r="I187" s="53">
        <f>Source!Q125</f>
        <v>22</v>
      </c>
      <c r="J187" s="54">
        <f>Source!AH125</f>
        <v>0.20699999999999999</v>
      </c>
      <c r="K187" s="54">
        <f>Source!U125</f>
        <v>0.59642909999999993</v>
      </c>
      <c r="T187">
        <f>Source!O125+Source!X125+Source!Y125</f>
        <v>29489</v>
      </c>
      <c r="U187">
        <f>Source!P125</f>
        <v>29451</v>
      </c>
      <c r="V187">
        <f>Source!S125</f>
        <v>5</v>
      </c>
      <c r="W187">
        <f>Source!Q125</f>
        <v>22</v>
      </c>
      <c r="X187">
        <f>Source!R125</f>
        <v>0</v>
      </c>
      <c r="Y187">
        <f>Source!U125</f>
        <v>0.59642909999999993</v>
      </c>
      <c r="Z187">
        <f>Source!V125</f>
        <v>0</v>
      </c>
      <c r="AA187">
        <f>Source!X125</f>
        <v>7</v>
      </c>
      <c r="AB187">
        <f>Source!Y125</f>
        <v>4</v>
      </c>
    </row>
    <row r="188" spans="1:28" ht="14.25" x14ac:dyDescent="0.2">
      <c r="A188" s="48"/>
      <c r="B188" s="48"/>
      <c r="C188" s="55" t="str">
        <f>Source!H125</f>
        <v>1000 м2 покрытия</v>
      </c>
      <c r="D188" s="51"/>
      <c r="E188" s="52">
        <f>Source!AF125</f>
        <v>1.6</v>
      </c>
      <c r="F188" s="52">
        <f>Source!AE125</f>
        <v>0</v>
      </c>
      <c r="G188" s="53"/>
      <c r="H188" s="53"/>
      <c r="I188" s="53">
        <f>Source!R125</f>
        <v>0</v>
      </c>
      <c r="J188" s="54">
        <f>Source!AI125</f>
        <v>0</v>
      </c>
      <c r="K188" s="54">
        <f>Source!V125</f>
        <v>0</v>
      </c>
    </row>
    <row r="189" spans="1:28" x14ac:dyDescent="0.2">
      <c r="A189" s="48"/>
      <c r="B189" s="48"/>
      <c r="C189" s="60" t="str">
        <f>"Объем: "&amp;Source!I125&amp;"=("&amp;Source!I122&amp;"*"&amp;"1000)/"&amp;"1000"</f>
        <v>Объем: 2,8813=(2,8813*1000)/1000</v>
      </c>
      <c r="D189" s="48"/>
      <c r="E189" s="48"/>
      <c r="F189" s="48"/>
      <c r="G189" s="48"/>
      <c r="H189" s="48"/>
      <c r="I189" s="48"/>
      <c r="J189" s="48"/>
      <c r="K189" s="48"/>
    </row>
    <row r="190" spans="1:28" x14ac:dyDescent="0.2">
      <c r="A190" s="48"/>
      <c r="B190" s="48"/>
      <c r="C190" s="60" t="s">
        <v>703</v>
      </c>
      <c r="D190" s="74" t="s">
        <v>200</v>
      </c>
      <c r="E190" s="74"/>
      <c r="F190" s="74"/>
      <c r="G190" s="74"/>
      <c r="H190" s="74"/>
      <c r="I190" s="74"/>
      <c r="J190" s="74"/>
      <c r="K190" s="74"/>
    </row>
    <row r="191" spans="1:28" x14ac:dyDescent="0.2">
      <c r="A191" s="48"/>
      <c r="B191" s="48"/>
      <c r="C191" s="60" t="s">
        <v>698</v>
      </c>
      <c r="D191" s="74" t="s">
        <v>180</v>
      </c>
      <c r="E191" s="74"/>
      <c r="F191" s="74"/>
      <c r="G191" s="74"/>
      <c r="H191" s="74"/>
      <c r="I191" s="74"/>
      <c r="J191" s="74"/>
      <c r="K191" s="74"/>
    </row>
    <row r="192" spans="1:28" x14ac:dyDescent="0.2">
      <c r="A192" s="48"/>
      <c r="B192" s="48"/>
      <c r="C192" s="60" t="s">
        <v>699</v>
      </c>
      <c r="D192" s="74" t="s">
        <v>180</v>
      </c>
      <c r="E192" s="74"/>
      <c r="F192" s="74"/>
      <c r="G192" s="74"/>
      <c r="H192" s="74"/>
      <c r="I192" s="74"/>
      <c r="J192" s="74"/>
      <c r="K192" s="74"/>
    </row>
    <row r="193" spans="1:28" x14ac:dyDescent="0.2">
      <c r="A193" s="48"/>
      <c r="B193" s="48"/>
      <c r="C193" s="60" t="s">
        <v>700</v>
      </c>
      <c r="D193" s="74" t="s">
        <v>181</v>
      </c>
      <c r="E193" s="74"/>
      <c r="F193" s="74"/>
      <c r="G193" s="74"/>
      <c r="H193" s="74"/>
      <c r="I193" s="74"/>
      <c r="J193" s="74"/>
      <c r="K193" s="74"/>
    </row>
    <row r="194" spans="1:28" x14ac:dyDescent="0.2">
      <c r="A194" s="48"/>
      <c r="B194" s="48"/>
      <c r="C194" s="60" t="s">
        <v>701</v>
      </c>
      <c r="D194" s="74" t="s">
        <v>181</v>
      </c>
      <c r="E194" s="74"/>
      <c r="F194" s="74"/>
      <c r="G194" s="74"/>
      <c r="H194" s="74"/>
      <c r="I194" s="74"/>
      <c r="J194" s="74"/>
      <c r="K194" s="74"/>
    </row>
    <row r="195" spans="1:28" x14ac:dyDescent="0.2">
      <c r="A195" s="48"/>
      <c r="B195" s="48"/>
      <c r="C195" s="60" t="s">
        <v>702</v>
      </c>
      <c r="D195" s="74" t="s">
        <v>180</v>
      </c>
      <c r="E195" s="74"/>
      <c r="F195" s="74"/>
      <c r="G195" s="74"/>
      <c r="H195" s="74"/>
      <c r="I195" s="74"/>
      <c r="J195" s="74"/>
      <c r="K195" s="74"/>
    </row>
    <row r="196" spans="1:28" x14ac:dyDescent="0.2">
      <c r="A196" s="48"/>
      <c r="B196" s="48"/>
      <c r="C196" s="56" t="s">
        <v>695</v>
      </c>
      <c r="D196" s="57">
        <f>Source!BZ125</f>
        <v>142</v>
      </c>
      <c r="E196" s="58">
        <f>(Source!AF125+Source!AE125)*Source!FX125/100</f>
        <v>2.2720000000000002</v>
      </c>
      <c r="F196" s="57"/>
      <c r="G196" s="59">
        <f>Source!X125</f>
        <v>7</v>
      </c>
      <c r="H196" s="57" t="str">
        <f>CONCATENATE(Source!AT125)</f>
        <v>142</v>
      </c>
      <c r="I196" s="57"/>
      <c r="J196" s="57"/>
      <c r="K196" s="57"/>
    </row>
    <row r="197" spans="1:28" x14ac:dyDescent="0.2">
      <c r="A197" s="48"/>
      <c r="B197" s="48"/>
      <c r="C197" s="56" t="s">
        <v>696</v>
      </c>
      <c r="D197" s="57">
        <f>Source!CA125</f>
        <v>95</v>
      </c>
      <c r="E197" s="58">
        <f>(Source!AF125+Source!AE125)*Source!FY125/100</f>
        <v>1.2920000000000003</v>
      </c>
      <c r="F197" s="57" t="str">
        <f>CONCATENATE(Source!DM125,Source!FU125, "=", Source!FY125, "%")</f>
        <v>*0,85=80,75%</v>
      </c>
      <c r="G197" s="59">
        <f>Source!Y125</f>
        <v>4</v>
      </c>
      <c r="H197" s="57" t="str">
        <f>CONCATENATE(Source!AU125)</f>
        <v>81</v>
      </c>
      <c r="I197" s="57"/>
      <c r="J197" s="57"/>
      <c r="K197" s="57"/>
    </row>
    <row r="198" spans="1:28" x14ac:dyDescent="0.2">
      <c r="A198" s="48"/>
      <c r="B198" s="48"/>
      <c r="C198" s="56" t="s">
        <v>697</v>
      </c>
      <c r="D198" s="57"/>
      <c r="E198" s="58">
        <f>((Source!AF125+Source!AE125)*Source!FX125/100)+((Source!AF125+Source!AE125)*Source!FY125/100)+Source!AB125</f>
        <v>10234.564</v>
      </c>
      <c r="F198" s="57"/>
      <c r="G198" s="59">
        <f>Source!O125+Source!X125+Source!Y125</f>
        <v>29489</v>
      </c>
      <c r="H198" s="57"/>
      <c r="I198" s="57"/>
      <c r="J198" s="57"/>
      <c r="K198" s="57"/>
    </row>
    <row r="199" spans="1:28" ht="99.75" x14ac:dyDescent="0.2">
      <c r="A199" s="49" t="str">
        <f>Source!E126</f>
        <v>21,1</v>
      </c>
      <c r="B199" s="49" t="str">
        <f>Source!F126</f>
        <v>410-0005</v>
      </c>
      <c r="C199" s="50" t="s">
        <v>704</v>
      </c>
      <c r="D199" s="51">
        <f>Source!I126</f>
        <v>-69.727459999999994</v>
      </c>
      <c r="E199" s="52">
        <f>Source!AB126</f>
        <v>422.2</v>
      </c>
      <c r="F199" s="52">
        <f>Source!AD126</f>
        <v>0</v>
      </c>
      <c r="G199" s="53">
        <f>Source!O126</f>
        <v>-29439</v>
      </c>
      <c r="H199" s="53">
        <f>Source!S126</f>
        <v>0</v>
      </c>
      <c r="I199" s="53">
        <f>Source!Q126</f>
        <v>0</v>
      </c>
      <c r="J199" s="54">
        <f>Source!AH126</f>
        <v>0</v>
      </c>
      <c r="K199" s="54">
        <f>Source!U126</f>
        <v>0</v>
      </c>
      <c r="T199">
        <f>Source!O126+Source!X126+Source!Y126</f>
        <v>-29439</v>
      </c>
      <c r="U199">
        <f>Source!P126</f>
        <v>-29439</v>
      </c>
      <c r="V199">
        <f>Source!S126</f>
        <v>0</v>
      </c>
      <c r="W199">
        <f>Source!Q126</f>
        <v>0</v>
      </c>
      <c r="X199">
        <f>Source!R126</f>
        <v>0</v>
      </c>
      <c r="Y199">
        <f>Source!U126</f>
        <v>0</v>
      </c>
      <c r="Z199">
        <f>Source!V126</f>
        <v>0</v>
      </c>
      <c r="AA199">
        <f>Source!X126</f>
        <v>0</v>
      </c>
      <c r="AB199">
        <f>Source!Y126</f>
        <v>0</v>
      </c>
    </row>
    <row r="200" spans="1:28" ht="14.25" x14ac:dyDescent="0.2">
      <c r="A200" s="48"/>
      <c r="B200" s="48"/>
      <c r="C200" s="55" t="str">
        <f>Source!H126</f>
        <v>т</v>
      </c>
      <c r="D200" s="51"/>
      <c r="E200" s="52">
        <f>Source!AF126</f>
        <v>0</v>
      </c>
      <c r="F200" s="52">
        <f>Source!AE126</f>
        <v>0</v>
      </c>
      <c r="G200" s="53"/>
      <c r="H200" s="53"/>
      <c r="I200" s="53">
        <f>Source!R126</f>
        <v>0</v>
      </c>
      <c r="J200" s="54">
        <f>Source!AI126</f>
        <v>0</v>
      </c>
      <c r="K200" s="54">
        <f>Source!V126</f>
        <v>0</v>
      </c>
    </row>
    <row r="201" spans="1:28" ht="85.5" x14ac:dyDescent="0.2">
      <c r="A201" s="49" t="str">
        <f>Source!E127</f>
        <v>21,2</v>
      </c>
      <c r="B201" s="49" t="str">
        <f>Source!F127</f>
        <v>410-0007</v>
      </c>
      <c r="C201" s="50" t="str">
        <f>Source!G127</f>
        <v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v>
      </c>
      <c r="D201" s="51">
        <f>Source!I127</f>
        <v>69.727459999999994</v>
      </c>
      <c r="E201" s="52">
        <f>Source!AB127</f>
        <v>444.5</v>
      </c>
      <c r="F201" s="52">
        <f>Source!AD127</f>
        <v>0</v>
      </c>
      <c r="G201" s="53">
        <f>Source!O127</f>
        <v>30994</v>
      </c>
      <c r="H201" s="53">
        <f>Source!S127</f>
        <v>0</v>
      </c>
      <c r="I201" s="53">
        <f>Source!Q127</f>
        <v>0</v>
      </c>
      <c r="J201" s="54">
        <f>Source!AH127</f>
        <v>0</v>
      </c>
      <c r="K201" s="54">
        <f>Source!U127</f>
        <v>0</v>
      </c>
      <c r="T201">
        <f>Source!O127+Source!X127+Source!Y127</f>
        <v>30994</v>
      </c>
      <c r="U201">
        <f>Source!P127</f>
        <v>30994</v>
      </c>
      <c r="V201">
        <f>Source!S127</f>
        <v>0</v>
      </c>
      <c r="W201">
        <f>Source!Q127</f>
        <v>0</v>
      </c>
      <c r="X201">
        <f>Source!R127</f>
        <v>0</v>
      </c>
      <c r="Y201">
        <f>Source!U127</f>
        <v>0</v>
      </c>
      <c r="Z201">
        <f>Source!V127</f>
        <v>0</v>
      </c>
      <c r="AA201">
        <f>Source!X127</f>
        <v>0</v>
      </c>
      <c r="AB201">
        <f>Source!Y127</f>
        <v>0</v>
      </c>
    </row>
    <row r="202" spans="1:28" ht="14.25" x14ac:dyDescent="0.2">
      <c r="A202" s="48"/>
      <c r="B202" s="48"/>
      <c r="C202" s="55" t="str">
        <f>Source!H127</f>
        <v>т</v>
      </c>
      <c r="D202" s="51"/>
      <c r="E202" s="52">
        <f>Source!AF127</f>
        <v>0</v>
      </c>
      <c r="F202" s="52">
        <f>Source!AE127</f>
        <v>0</v>
      </c>
      <c r="G202" s="53"/>
      <c r="H202" s="53"/>
      <c r="I202" s="53">
        <f>Source!R127</f>
        <v>0</v>
      </c>
      <c r="J202" s="54">
        <f>Source!AI127</f>
        <v>0</v>
      </c>
      <c r="K202" s="54">
        <f>Source!V127</f>
        <v>0</v>
      </c>
    </row>
    <row r="203" spans="1:28" x14ac:dyDescent="0.2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</row>
    <row r="204" spans="1:28" ht="15" x14ac:dyDescent="0.25">
      <c r="A204" s="61"/>
      <c r="B204" s="61"/>
      <c r="C204" s="77" t="str">
        <f>CONCATENATE("Итого по подразделу: ",IF(Source!G129&lt;&gt;"Новый подраздел", Source!G129, ""))</f>
        <v>Итого по подразделу: Асфальт S=2881,3м2</v>
      </c>
      <c r="D204" s="77"/>
      <c r="E204" s="77"/>
      <c r="F204" s="77"/>
      <c r="G204" s="62">
        <f>IF(SUM(T89:T203)=0, "-", SUM(T89:T203))</f>
        <v>353426</v>
      </c>
      <c r="H204" s="62">
        <f>IF(SUM(V89:V203)=0, "-", SUM(V89:V203))</f>
        <v>2378</v>
      </c>
      <c r="I204" s="62">
        <f>IF(SUM(W89:W203)=0, "-", SUM(W89:W203))</f>
        <v>25968</v>
      </c>
      <c r="J204" s="62"/>
      <c r="K204" s="63">
        <f>IF(SUM(Y89:Y203)=0, "-", SUM(Y89:Y203))</f>
        <v>312.87216480000001</v>
      </c>
    </row>
    <row r="205" spans="1:28" ht="15" x14ac:dyDescent="0.25">
      <c r="A205" s="61"/>
      <c r="B205" s="61"/>
      <c r="C205" s="61"/>
      <c r="D205" s="61"/>
      <c r="E205" s="61"/>
      <c r="F205" s="61"/>
      <c r="G205" s="62"/>
      <c r="H205" s="62"/>
      <c r="I205" s="62">
        <f>IF(SUM(X89:X203)=0, "-", SUM(X89:X203))</f>
        <v>2588</v>
      </c>
      <c r="J205" s="62"/>
      <c r="K205" s="63">
        <f>IF(SUM(Z89:Z203)=0, "-", SUM(Z89:Z203))</f>
        <v>193.30776000000003</v>
      </c>
    </row>
    <row r="206" spans="1:28" x14ac:dyDescent="0.2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</row>
    <row r="207" spans="1:28" x14ac:dyDescent="0.2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</row>
    <row r="208" spans="1:28" x14ac:dyDescent="0.2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</row>
    <row r="209" spans="1:28" ht="16.5" x14ac:dyDescent="0.25">
      <c r="A209" s="73" t="str">
        <f>CONCATENATE("Подраздел: ",IF(Source!G159&lt;&gt;"Новый подраздел", Source!G159, ""))</f>
        <v>Подраздел: Установка бортовых камней БК 100.30.15 - 431м</v>
      </c>
      <c r="B209" s="73"/>
      <c r="C209" s="73"/>
      <c r="D209" s="73"/>
      <c r="E209" s="73"/>
      <c r="F209" s="73"/>
      <c r="G209" s="73"/>
      <c r="H209" s="73"/>
      <c r="I209" s="73"/>
      <c r="J209" s="73"/>
      <c r="K209" s="73"/>
    </row>
    <row r="210" spans="1:28" ht="42.75" x14ac:dyDescent="0.2">
      <c r="A210" s="49" t="str">
        <f>Source!E163</f>
        <v>22</v>
      </c>
      <c r="B210" s="49" t="str">
        <f>Source!F163</f>
        <v>01-02-057-2</v>
      </c>
      <c r="C210" s="50" t="str">
        <f>Source!G163</f>
        <v>Разработка грунта вручную в траншеях глубиной до 2 м без креплений с откосами, группа грунтов: 2</v>
      </c>
      <c r="D210" s="51">
        <f>Source!I163</f>
        <v>0.38790000000000002</v>
      </c>
      <c r="E210" s="52">
        <f>Source!AB163</f>
        <v>1124.5999999999999</v>
      </c>
      <c r="F210" s="52">
        <f>Source!AD163</f>
        <v>0</v>
      </c>
      <c r="G210" s="53">
        <f>Source!O163</f>
        <v>436</v>
      </c>
      <c r="H210" s="53">
        <f>Source!S163</f>
        <v>436</v>
      </c>
      <c r="I210" s="53">
        <f>Source!Q163</f>
        <v>0</v>
      </c>
      <c r="J210" s="54">
        <f>Source!AH163</f>
        <v>177.1</v>
      </c>
      <c r="K210" s="54">
        <f>Source!U163</f>
        <v>68.697090000000003</v>
      </c>
      <c r="T210">
        <f>Source!O163+Source!X163+Source!Y163</f>
        <v>951</v>
      </c>
      <c r="U210">
        <f>Source!P163</f>
        <v>0</v>
      </c>
      <c r="V210">
        <f>Source!S163</f>
        <v>436</v>
      </c>
      <c r="W210">
        <f>Source!Q163</f>
        <v>0</v>
      </c>
      <c r="X210">
        <f>Source!R163</f>
        <v>0</v>
      </c>
      <c r="Y210">
        <f>Source!U163</f>
        <v>68.697090000000003</v>
      </c>
      <c r="Z210">
        <f>Source!V163</f>
        <v>0</v>
      </c>
      <c r="AA210">
        <f>Source!X163</f>
        <v>349</v>
      </c>
      <c r="AB210">
        <f>Source!Y163</f>
        <v>166</v>
      </c>
    </row>
    <row r="211" spans="1:28" ht="14.25" x14ac:dyDescent="0.2">
      <c r="A211" s="48"/>
      <c r="B211" s="48"/>
      <c r="C211" s="55" t="str">
        <f>Source!H163</f>
        <v>100 м3 грунта</v>
      </c>
      <c r="D211" s="51"/>
      <c r="E211" s="52">
        <f>Source!AF163</f>
        <v>1124.5999999999999</v>
      </c>
      <c r="F211" s="52">
        <f>Source!AE163</f>
        <v>0</v>
      </c>
      <c r="G211" s="53"/>
      <c r="H211" s="53"/>
      <c r="I211" s="53">
        <f>Source!R163</f>
        <v>0</v>
      </c>
      <c r="J211" s="54">
        <f>Source!AI163</f>
        <v>0</v>
      </c>
      <c r="K211" s="54">
        <f>Source!V163</f>
        <v>0</v>
      </c>
    </row>
    <row r="212" spans="1:28" x14ac:dyDescent="0.2">
      <c r="A212" s="48"/>
      <c r="B212" s="48"/>
      <c r="C212" s="60" t="str">
        <f>"Объем: "&amp;Source!I163&amp;"=("&amp;Source!I166&amp;"*"&amp;"100*"&amp;"0,09)/"&amp;"100"</f>
        <v>Объем: 0,3879=(4,31*100*0,09)/100</v>
      </c>
      <c r="D212" s="48"/>
      <c r="E212" s="48"/>
      <c r="F212" s="48"/>
      <c r="G212" s="48"/>
      <c r="H212" s="48"/>
      <c r="I212" s="48"/>
      <c r="J212" s="48"/>
      <c r="K212" s="48"/>
    </row>
    <row r="213" spans="1:28" x14ac:dyDescent="0.2">
      <c r="A213" s="48"/>
      <c r="B213" s="48"/>
      <c r="C213" s="60" t="s">
        <v>698</v>
      </c>
      <c r="D213" s="74" t="s">
        <v>11</v>
      </c>
      <c r="E213" s="74"/>
      <c r="F213" s="74"/>
      <c r="G213" s="74"/>
      <c r="H213" s="74"/>
      <c r="I213" s="74"/>
      <c r="J213" s="74"/>
      <c r="K213" s="74"/>
    </row>
    <row r="214" spans="1:28" x14ac:dyDescent="0.2">
      <c r="A214" s="48"/>
      <c r="B214" s="48"/>
      <c r="C214" s="60" t="s">
        <v>699</v>
      </c>
      <c r="D214" s="74" t="s">
        <v>11</v>
      </c>
      <c r="E214" s="74"/>
      <c r="F214" s="74"/>
      <c r="G214" s="74"/>
      <c r="H214" s="74"/>
      <c r="I214" s="74"/>
      <c r="J214" s="74"/>
      <c r="K214" s="74"/>
    </row>
    <row r="215" spans="1:28" x14ac:dyDescent="0.2">
      <c r="A215" s="48"/>
      <c r="B215" s="48"/>
      <c r="C215" s="60" t="s">
        <v>700</v>
      </c>
      <c r="D215" s="74" t="s">
        <v>12</v>
      </c>
      <c r="E215" s="74"/>
      <c r="F215" s="74"/>
      <c r="G215" s="74"/>
      <c r="H215" s="74"/>
      <c r="I215" s="74"/>
      <c r="J215" s="74"/>
      <c r="K215" s="74"/>
    </row>
    <row r="216" spans="1:28" x14ac:dyDescent="0.2">
      <c r="A216" s="48"/>
      <c r="B216" s="48"/>
      <c r="C216" s="60" t="s">
        <v>701</v>
      </c>
      <c r="D216" s="74" t="s">
        <v>12</v>
      </c>
      <c r="E216" s="74"/>
      <c r="F216" s="74"/>
      <c r="G216" s="74"/>
      <c r="H216" s="74"/>
      <c r="I216" s="74"/>
      <c r="J216" s="74"/>
      <c r="K216" s="74"/>
    </row>
    <row r="217" spans="1:28" x14ac:dyDescent="0.2">
      <c r="A217" s="48"/>
      <c r="B217" s="48"/>
      <c r="C217" s="60" t="s">
        <v>702</v>
      </c>
      <c r="D217" s="74" t="s">
        <v>11</v>
      </c>
      <c r="E217" s="74"/>
      <c r="F217" s="74"/>
      <c r="G217" s="74"/>
      <c r="H217" s="74"/>
      <c r="I217" s="74"/>
      <c r="J217" s="74"/>
      <c r="K217" s="74"/>
    </row>
    <row r="218" spans="1:28" x14ac:dyDescent="0.2">
      <c r="A218" s="48"/>
      <c r="B218" s="48"/>
      <c r="C218" s="56" t="s">
        <v>695</v>
      </c>
      <c r="D218" s="57">
        <f>Source!BZ163</f>
        <v>80</v>
      </c>
      <c r="E218" s="58">
        <f>(Source!AF163+Source!AE163)*Source!FX163/100</f>
        <v>899.68</v>
      </c>
      <c r="F218" s="57"/>
      <c r="G218" s="59">
        <f>Source!X163</f>
        <v>349</v>
      </c>
      <c r="H218" s="57" t="str">
        <f>CONCATENATE(Source!AT163)</f>
        <v>80</v>
      </c>
      <c r="I218" s="57"/>
      <c r="J218" s="57"/>
      <c r="K218" s="57"/>
    </row>
    <row r="219" spans="1:28" x14ac:dyDescent="0.2">
      <c r="A219" s="48"/>
      <c r="B219" s="48"/>
      <c r="C219" s="56" t="s">
        <v>696</v>
      </c>
      <c r="D219" s="57">
        <f>Source!CA163</f>
        <v>45</v>
      </c>
      <c r="E219" s="58">
        <f>(Source!AF163+Source!AE163)*Source!FY163/100</f>
        <v>430.15949999999998</v>
      </c>
      <c r="F219" s="57" t="str">
        <f>CONCATENATE(Source!DM163,Source!FU163, "=", Source!FY163, "%")</f>
        <v>*0,85=38,25%</v>
      </c>
      <c r="G219" s="59">
        <f>Source!Y163</f>
        <v>166</v>
      </c>
      <c r="H219" s="57" t="str">
        <f>CONCATENATE(Source!AU163)</f>
        <v>38</v>
      </c>
      <c r="I219" s="57"/>
      <c r="J219" s="57"/>
      <c r="K219" s="57"/>
    </row>
    <row r="220" spans="1:28" x14ac:dyDescent="0.2">
      <c r="A220" s="48"/>
      <c r="B220" s="48"/>
      <c r="C220" s="56" t="s">
        <v>697</v>
      </c>
      <c r="D220" s="57"/>
      <c r="E220" s="58">
        <f>((Source!AF163+Source!AE163)*Source!FX163/100)+((Source!AF163+Source!AE163)*Source!FY163/100)+Source!AB163</f>
        <v>2454.4395</v>
      </c>
      <c r="F220" s="57"/>
      <c r="G220" s="59">
        <f>Source!O163+Source!X163+Source!Y163</f>
        <v>951</v>
      </c>
      <c r="H220" s="57"/>
      <c r="I220" s="57"/>
      <c r="J220" s="57"/>
      <c r="K220" s="57"/>
    </row>
    <row r="221" spans="1:28" ht="42.75" x14ac:dyDescent="0.2">
      <c r="A221" s="49" t="str">
        <f>Source!E164</f>
        <v>23</v>
      </c>
      <c r="B221" s="49" t="str">
        <f>Source!F164</f>
        <v>27-04-001-4</v>
      </c>
      <c r="C221" s="50" t="str">
        <f>Source!G164</f>
        <v>Устройство подстилающих и выравнивающих слоев оснований: из щебня</v>
      </c>
      <c r="D221" s="51">
        <f>Source!I164</f>
        <v>7.7600000000000002E-2</v>
      </c>
      <c r="E221" s="52">
        <f>Source!AB164</f>
        <v>4369.3999999999996</v>
      </c>
      <c r="F221" s="52">
        <f>Source!AD164</f>
        <v>4170.6000000000004</v>
      </c>
      <c r="G221" s="53">
        <f>Source!O164</f>
        <v>339</v>
      </c>
      <c r="H221" s="53">
        <f>Source!S164</f>
        <v>14</v>
      </c>
      <c r="I221" s="53">
        <f>Source!Q164</f>
        <v>324</v>
      </c>
      <c r="J221" s="54">
        <f>Source!AH164</f>
        <v>27.8185</v>
      </c>
      <c r="K221" s="54">
        <f>Source!U164</f>
        <v>2.1587156000000003</v>
      </c>
      <c r="T221">
        <f>Source!O164+Source!X164+Source!Y164</f>
        <v>430</v>
      </c>
      <c r="U221">
        <f>Source!P164</f>
        <v>1</v>
      </c>
      <c r="V221">
        <f>Source!S164</f>
        <v>14</v>
      </c>
      <c r="W221">
        <f>Source!Q164</f>
        <v>324</v>
      </c>
      <c r="X221">
        <f>Source!R164</f>
        <v>27</v>
      </c>
      <c r="Y221">
        <f>Source!U164</f>
        <v>2.1587156000000003</v>
      </c>
      <c r="Z221">
        <f>Source!V164</f>
        <v>1.9982</v>
      </c>
      <c r="AA221">
        <f>Source!X164</f>
        <v>58</v>
      </c>
      <c r="AB221">
        <f>Source!Y164</f>
        <v>33</v>
      </c>
    </row>
    <row r="222" spans="1:28" ht="28.5" x14ac:dyDescent="0.2">
      <c r="A222" s="48"/>
      <c r="B222" s="48"/>
      <c r="C222" s="55" t="str">
        <f>Source!H164</f>
        <v>100 м3 материала основания (в плотном теле)</v>
      </c>
      <c r="D222" s="51"/>
      <c r="E222" s="52">
        <f>Source!AF164</f>
        <v>183</v>
      </c>
      <c r="F222" s="52">
        <f>Source!AE164</f>
        <v>342</v>
      </c>
      <c r="G222" s="53"/>
      <c r="H222" s="53"/>
      <c r="I222" s="53">
        <f>Source!R164</f>
        <v>27</v>
      </c>
      <c r="J222" s="54">
        <f>Source!AI164</f>
        <v>25.75</v>
      </c>
      <c r="K222" s="54">
        <f>Source!V164</f>
        <v>1.9982</v>
      </c>
    </row>
    <row r="223" spans="1:28" x14ac:dyDescent="0.2">
      <c r="A223" s="48"/>
      <c r="B223" s="48"/>
      <c r="C223" s="60" t="str">
        <f>"Объем: "&amp;Source!I164&amp;"=("&amp;Source!I166&amp;"*"&amp;"100*"&amp;"0,1*"&amp;"0,18)/"&amp;"100"</f>
        <v>Объем: 0,0776=(4,31*100*0,1*0,18)/100</v>
      </c>
      <c r="D223" s="48"/>
      <c r="E223" s="48"/>
      <c r="F223" s="48"/>
      <c r="G223" s="48"/>
      <c r="H223" s="48"/>
      <c r="I223" s="48"/>
      <c r="J223" s="48"/>
      <c r="K223" s="48"/>
    </row>
    <row r="224" spans="1:28" x14ac:dyDescent="0.2">
      <c r="A224" s="48"/>
      <c r="B224" s="48"/>
      <c r="C224" s="60" t="s">
        <v>698</v>
      </c>
      <c r="D224" s="74" t="s">
        <v>11</v>
      </c>
      <c r="E224" s="74"/>
      <c r="F224" s="74"/>
      <c r="G224" s="74"/>
      <c r="H224" s="74"/>
      <c r="I224" s="74"/>
      <c r="J224" s="74"/>
      <c r="K224" s="74"/>
    </row>
    <row r="225" spans="1:28" x14ac:dyDescent="0.2">
      <c r="A225" s="48"/>
      <c r="B225" s="48"/>
      <c r="C225" s="60" t="s">
        <v>699</v>
      </c>
      <c r="D225" s="74" t="s">
        <v>11</v>
      </c>
      <c r="E225" s="74"/>
      <c r="F225" s="74"/>
      <c r="G225" s="74"/>
      <c r="H225" s="74"/>
      <c r="I225" s="74"/>
      <c r="J225" s="74"/>
      <c r="K225" s="74"/>
    </row>
    <row r="226" spans="1:28" x14ac:dyDescent="0.2">
      <c r="A226" s="48"/>
      <c r="B226" s="48"/>
      <c r="C226" s="60" t="s">
        <v>700</v>
      </c>
      <c r="D226" s="74" t="s">
        <v>12</v>
      </c>
      <c r="E226" s="74"/>
      <c r="F226" s="74"/>
      <c r="G226" s="74"/>
      <c r="H226" s="74"/>
      <c r="I226" s="74"/>
      <c r="J226" s="74"/>
      <c r="K226" s="74"/>
    </row>
    <row r="227" spans="1:28" x14ac:dyDescent="0.2">
      <c r="A227" s="48"/>
      <c r="B227" s="48"/>
      <c r="C227" s="60" t="s">
        <v>701</v>
      </c>
      <c r="D227" s="74" t="s">
        <v>12</v>
      </c>
      <c r="E227" s="74"/>
      <c r="F227" s="74"/>
      <c r="G227" s="74"/>
      <c r="H227" s="74"/>
      <c r="I227" s="74"/>
      <c r="J227" s="74"/>
      <c r="K227" s="74"/>
    </row>
    <row r="228" spans="1:28" x14ac:dyDescent="0.2">
      <c r="A228" s="48"/>
      <c r="B228" s="48"/>
      <c r="C228" s="60" t="s">
        <v>702</v>
      </c>
      <c r="D228" s="74" t="s">
        <v>11</v>
      </c>
      <c r="E228" s="74"/>
      <c r="F228" s="74"/>
      <c r="G228" s="74"/>
      <c r="H228" s="74"/>
      <c r="I228" s="74"/>
      <c r="J228" s="74"/>
      <c r="K228" s="74"/>
    </row>
    <row r="229" spans="1:28" x14ac:dyDescent="0.2">
      <c r="A229" s="48"/>
      <c r="B229" s="48"/>
      <c r="C229" s="56" t="s">
        <v>695</v>
      </c>
      <c r="D229" s="57">
        <f>Source!BZ164</f>
        <v>142</v>
      </c>
      <c r="E229" s="58">
        <f>(Source!AF164+Source!AE164)*Source!FX164/100</f>
        <v>745.5</v>
      </c>
      <c r="F229" s="57"/>
      <c r="G229" s="59">
        <f>Source!X164</f>
        <v>58</v>
      </c>
      <c r="H229" s="57" t="str">
        <f>CONCATENATE(Source!AT164)</f>
        <v>142</v>
      </c>
      <c r="I229" s="57"/>
      <c r="J229" s="57"/>
      <c r="K229" s="57"/>
    </row>
    <row r="230" spans="1:28" x14ac:dyDescent="0.2">
      <c r="A230" s="48"/>
      <c r="B230" s="48"/>
      <c r="C230" s="56" t="s">
        <v>696</v>
      </c>
      <c r="D230" s="57">
        <f>Source!CA164</f>
        <v>95</v>
      </c>
      <c r="E230" s="58">
        <f>(Source!AF164+Source!AE164)*Source!FY164/100</f>
        <v>423.9375</v>
      </c>
      <c r="F230" s="57" t="str">
        <f>CONCATENATE(Source!DM164,Source!FU164, "=", Source!FY164, "%")</f>
        <v>*0,85=80,75%</v>
      </c>
      <c r="G230" s="59">
        <f>Source!Y164</f>
        <v>33</v>
      </c>
      <c r="H230" s="57" t="str">
        <f>CONCATENATE(Source!AU164)</f>
        <v>81</v>
      </c>
      <c r="I230" s="57"/>
      <c r="J230" s="57"/>
      <c r="K230" s="57"/>
    </row>
    <row r="231" spans="1:28" x14ac:dyDescent="0.2">
      <c r="A231" s="48"/>
      <c r="B231" s="48"/>
      <c r="C231" s="56" t="s">
        <v>697</v>
      </c>
      <c r="D231" s="57"/>
      <c r="E231" s="58">
        <f>((Source!AF164+Source!AE164)*Source!FX164/100)+((Source!AF164+Source!AE164)*Source!FY164/100)+Source!AB164</f>
        <v>5538.8374999999996</v>
      </c>
      <c r="F231" s="57"/>
      <c r="G231" s="59">
        <f>Source!O164+Source!X164+Source!Y164</f>
        <v>430</v>
      </c>
      <c r="H231" s="57"/>
      <c r="I231" s="57"/>
      <c r="J231" s="57"/>
      <c r="K231" s="57"/>
    </row>
    <row r="232" spans="1:28" ht="42.75" x14ac:dyDescent="0.2">
      <c r="A232" s="49" t="str">
        <f>Source!E165</f>
        <v>23,1</v>
      </c>
      <c r="B232" s="49" t="str">
        <f>Source!F165</f>
        <v>408-0057</v>
      </c>
      <c r="C232" s="50" t="str">
        <f>Source!G165</f>
        <v>Щебень из природного камня для строительных работ марка 600, фракция 5 (3)-20 мм</v>
      </c>
      <c r="D232" s="51">
        <f>Source!I165</f>
        <v>9.7775999999999996</v>
      </c>
      <c r="E232" s="52">
        <f>Source!AB165</f>
        <v>127.2</v>
      </c>
      <c r="F232" s="52">
        <f>Source!AD165</f>
        <v>0</v>
      </c>
      <c r="G232" s="53">
        <f>Source!O165</f>
        <v>1244</v>
      </c>
      <c r="H232" s="53">
        <f>Source!S165</f>
        <v>0</v>
      </c>
      <c r="I232" s="53">
        <f>Source!Q165</f>
        <v>0</v>
      </c>
      <c r="J232" s="54">
        <f>Source!AH165</f>
        <v>0</v>
      </c>
      <c r="K232" s="54">
        <f>Source!U165</f>
        <v>0</v>
      </c>
      <c r="T232">
        <f>Source!O165+Source!X165+Source!Y165</f>
        <v>1244</v>
      </c>
      <c r="U232">
        <f>Source!P165</f>
        <v>1244</v>
      </c>
      <c r="V232">
        <f>Source!S165</f>
        <v>0</v>
      </c>
      <c r="W232">
        <f>Source!Q165</f>
        <v>0</v>
      </c>
      <c r="X232">
        <f>Source!R165</f>
        <v>0</v>
      </c>
      <c r="Y232">
        <f>Source!U165</f>
        <v>0</v>
      </c>
      <c r="Z232">
        <f>Source!V165</f>
        <v>0</v>
      </c>
      <c r="AA232">
        <f>Source!X165</f>
        <v>0</v>
      </c>
      <c r="AB232">
        <f>Source!Y165</f>
        <v>0</v>
      </c>
    </row>
    <row r="233" spans="1:28" ht="14.25" x14ac:dyDescent="0.2">
      <c r="A233" s="48"/>
      <c r="B233" s="48"/>
      <c r="C233" s="55" t="str">
        <f>Source!H165</f>
        <v>м3</v>
      </c>
      <c r="D233" s="51"/>
      <c r="E233" s="52">
        <f>Source!AF165</f>
        <v>0</v>
      </c>
      <c r="F233" s="52">
        <f>Source!AE165</f>
        <v>0</v>
      </c>
      <c r="G233" s="53"/>
      <c r="H233" s="53"/>
      <c r="I233" s="53">
        <f>Source!R165</f>
        <v>0</v>
      </c>
      <c r="J233" s="54">
        <f>Source!AI165</f>
        <v>0</v>
      </c>
      <c r="K233" s="54">
        <f>Source!V165</f>
        <v>0</v>
      </c>
    </row>
    <row r="234" spans="1:28" ht="28.5" x14ac:dyDescent="0.2">
      <c r="A234" s="49" t="str">
        <f>Source!E166</f>
        <v>24</v>
      </c>
      <c r="B234" s="49" t="str">
        <f>Source!F166</f>
        <v>27-02-010-2</v>
      </c>
      <c r="C234" s="50" t="str">
        <f>Source!G166</f>
        <v>Установка бортовых камней бетонных: при других видах покрытий</v>
      </c>
      <c r="D234" s="51">
        <f>Source!I166</f>
        <v>4.3099999999999996</v>
      </c>
      <c r="E234" s="52">
        <f>Source!AB166</f>
        <v>4125.6000000000004</v>
      </c>
      <c r="F234" s="52">
        <f>Source!AD166</f>
        <v>99.3</v>
      </c>
      <c r="G234" s="53">
        <f>Source!O166</f>
        <v>17781</v>
      </c>
      <c r="H234" s="53">
        <f>Source!S166</f>
        <v>2594</v>
      </c>
      <c r="I234" s="53">
        <f>Source!Q166</f>
        <v>428</v>
      </c>
      <c r="J234" s="54">
        <f>Source!AH166</f>
        <v>87.49199999999999</v>
      </c>
      <c r="K234" s="54">
        <f>Source!U166</f>
        <v>377.09051999999991</v>
      </c>
      <c r="T234">
        <f>Source!O166+Source!X166+Source!Y166</f>
        <v>23675</v>
      </c>
      <c r="U234">
        <f>Source!P166</f>
        <v>14759</v>
      </c>
      <c r="V234">
        <f>Source!S166</f>
        <v>2594</v>
      </c>
      <c r="W234">
        <f>Source!Q166</f>
        <v>428</v>
      </c>
      <c r="X234">
        <f>Source!R166</f>
        <v>49</v>
      </c>
      <c r="Y234">
        <f>Source!U166</f>
        <v>377.09051999999991</v>
      </c>
      <c r="Z234">
        <f>Source!V166</f>
        <v>3.6635</v>
      </c>
      <c r="AA234">
        <f>Source!X166</f>
        <v>3753</v>
      </c>
      <c r="AB234">
        <f>Source!Y166</f>
        <v>2141</v>
      </c>
    </row>
    <row r="235" spans="1:28" ht="14.25" x14ac:dyDescent="0.2">
      <c r="A235" s="48"/>
      <c r="B235" s="48"/>
      <c r="C235" s="55" t="str">
        <f>Source!H166</f>
        <v>100 м бортового камня</v>
      </c>
      <c r="D235" s="51"/>
      <c r="E235" s="52">
        <f>Source!AF166</f>
        <v>601.9</v>
      </c>
      <c r="F235" s="52">
        <f>Source!AE166</f>
        <v>11.3</v>
      </c>
      <c r="G235" s="53"/>
      <c r="H235" s="53"/>
      <c r="I235" s="53">
        <f>Source!R166</f>
        <v>49</v>
      </c>
      <c r="J235" s="54">
        <f>Source!AI166</f>
        <v>0.85000000000000009</v>
      </c>
      <c r="K235" s="54">
        <f>Source!V166</f>
        <v>3.6635</v>
      </c>
    </row>
    <row r="236" spans="1:28" x14ac:dyDescent="0.2">
      <c r="A236" s="48"/>
      <c r="B236" s="48"/>
      <c r="C236" s="60" t="str">
        <f>"Объем: "&amp;Source!I166&amp;"=431/"&amp;"100"</f>
        <v>Объем: 4,31=431/100</v>
      </c>
      <c r="D236" s="48"/>
      <c r="E236" s="48"/>
      <c r="F236" s="48"/>
      <c r="G236" s="48"/>
      <c r="H236" s="48"/>
      <c r="I236" s="48"/>
      <c r="J236" s="48"/>
      <c r="K236" s="48"/>
    </row>
    <row r="237" spans="1:28" x14ac:dyDescent="0.2">
      <c r="A237" s="48"/>
      <c r="B237" s="48"/>
      <c r="C237" s="60" t="s">
        <v>698</v>
      </c>
      <c r="D237" s="74" t="s">
        <v>11</v>
      </c>
      <c r="E237" s="74"/>
      <c r="F237" s="74"/>
      <c r="G237" s="74"/>
      <c r="H237" s="74"/>
      <c r="I237" s="74"/>
      <c r="J237" s="74"/>
      <c r="K237" s="74"/>
    </row>
    <row r="238" spans="1:28" x14ac:dyDescent="0.2">
      <c r="A238" s="48"/>
      <c r="B238" s="48"/>
      <c r="C238" s="60" t="s">
        <v>699</v>
      </c>
      <c r="D238" s="74" t="s">
        <v>11</v>
      </c>
      <c r="E238" s="74"/>
      <c r="F238" s="74"/>
      <c r="G238" s="74"/>
      <c r="H238" s="74"/>
      <c r="I238" s="74"/>
      <c r="J238" s="74"/>
      <c r="K238" s="74"/>
    </row>
    <row r="239" spans="1:28" x14ac:dyDescent="0.2">
      <c r="A239" s="48"/>
      <c r="B239" s="48"/>
      <c r="C239" s="60" t="s">
        <v>700</v>
      </c>
      <c r="D239" s="74" t="s">
        <v>12</v>
      </c>
      <c r="E239" s="74"/>
      <c r="F239" s="74"/>
      <c r="G239" s="74"/>
      <c r="H239" s="74"/>
      <c r="I239" s="74"/>
      <c r="J239" s="74"/>
      <c r="K239" s="74"/>
    </row>
    <row r="240" spans="1:28" x14ac:dyDescent="0.2">
      <c r="A240" s="48"/>
      <c r="B240" s="48"/>
      <c r="C240" s="60" t="s">
        <v>701</v>
      </c>
      <c r="D240" s="74" t="s">
        <v>12</v>
      </c>
      <c r="E240" s="74"/>
      <c r="F240" s="74"/>
      <c r="G240" s="74"/>
      <c r="H240" s="74"/>
      <c r="I240" s="74"/>
      <c r="J240" s="74"/>
      <c r="K240" s="74"/>
    </row>
    <row r="241" spans="1:28" x14ac:dyDescent="0.2">
      <c r="A241" s="48"/>
      <c r="B241" s="48"/>
      <c r="C241" s="60" t="s">
        <v>702</v>
      </c>
      <c r="D241" s="74" t="s">
        <v>11</v>
      </c>
      <c r="E241" s="74"/>
      <c r="F241" s="74"/>
      <c r="G241" s="74"/>
      <c r="H241" s="74"/>
      <c r="I241" s="74"/>
      <c r="J241" s="74"/>
      <c r="K241" s="74"/>
    </row>
    <row r="242" spans="1:28" x14ac:dyDescent="0.2">
      <c r="A242" s="48"/>
      <c r="B242" s="48"/>
      <c r="C242" s="56" t="s">
        <v>695</v>
      </c>
      <c r="D242" s="57">
        <f>Source!BZ166</f>
        <v>142</v>
      </c>
      <c r="E242" s="58">
        <f>(Source!AF166+Source!AE166)*Source!FX166/100</f>
        <v>870.74399999999991</v>
      </c>
      <c r="F242" s="57"/>
      <c r="G242" s="59">
        <f>Source!X166</f>
        <v>3753</v>
      </c>
      <c r="H242" s="57" t="str">
        <f>CONCATENATE(Source!AT166)</f>
        <v>142</v>
      </c>
      <c r="I242" s="57"/>
      <c r="J242" s="57"/>
      <c r="K242" s="57"/>
    </row>
    <row r="243" spans="1:28" x14ac:dyDescent="0.2">
      <c r="A243" s="48"/>
      <c r="B243" s="48"/>
      <c r="C243" s="56" t="s">
        <v>696</v>
      </c>
      <c r="D243" s="57">
        <f>Source!CA166</f>
        <v>95</v>
      </c>
      <c r="E243" s="58">
        <f>(Source!AF166+Source!AE166)*Source!FY166/100</f>
        <v>495.15899999999993</v>
      </c>
      <c r="F243" s="57" t="str">
        <f>CONCATENATE(Source!DM166,Source!FU166, "=", Source!FY166, "%")</f>
        <v>*0,85=80,75%</v>
      </c>
      <c r="G243" s="59">
        <f>Source!Y166</f>
        <v>2141</v>
      </c>
      <c r="H243" s="57" t="str">
        <f>CONCATENATE(Source!AU166)</f>
        <v>81</v>
      </c>
      <c r="I243" s="57"/>
      <c r="J243" s="57"/>
      <c r="K243" s="57"/>
    </row>
    <row r="244" spans="1:28" x14ac:dyDescent="0.2">
      <c r="A244" s="48"/>
      <c r="B244" s="48"/>
      <c r="C244" s="56" t="s">
        <v>697</v>
      </c>
      <c r="D244" s="57"/>
      <c r="E244" s="58">
        <f>((Source!AF166+Source!AE166)*Source!FX166/100)+((Source!AF166+Source!AE166)*Source!FY166/100)+Source!AB166</f>
        <v>5491.5030000000006</v>
      </c>
      <c r="F244" s="57"/>
      <c r="G244" s="59">
        <f>Source!O166+Source!X166+Source!Y166</f>
        <v>23675</v>
      </c>
      <c r="H244" s="57"/>
      <c r="I244" s="57"/>
      <c r="J244" s="57"/>
      <c r="K244" s="57"/>
    </row>
    <row r="245" spans="1:28" ht="42.75" x14ac:dyDescent="0.2">
      <c r="A245" s="49" t="str">
        <f>Source!E167</f>
        <v>24,1</v>
      </c>
      <c r="B245" s="49" t="str">
        <f>Source!F167</f>
        <v>403-8021</v>
      </c>
      <c r="C245" s="50" t="str">
        <f>Source!G167</f>
        <v>Камни бортовые БР 100.30.15 /бетон В30 (М400), объем 0,043 м3/ (ГОСТ 6665-91)</v>
      </c>
      <c r="D245" s="51">
        <f>Source!I167</f>
        <v>431</v>
      </c>
      <c r="E245" s="52">
        <f>Source!AB167</f>
        <v>58.5</v>
      </c>
      <c r="F245" s="52">
        <f>Source!AD167</f>
        <v>0</v>
      </c>
      <c r="G245" s="53">
        <f>Source!O167</f>
        <v>25214</v>
      </c>
      <c r="H245" s="53">
        <f>Source!S167</f>
        <v>0</v>
      </c>
      <c r="I245" s="53">
        <f>Source!Q167</f>
        <v>0</v>
      </c>
      <c r="J245" s="54">
        <f>Source!AH167</f>
        <v>0</v>
      </c>
      <c r="K245" s="54">
        <f>Source!U167</f>
        <v>0</v>
      </c>
      <c r="T245">
        <f>Source!O167+Source!X167+Source!Y167</f>
        <v>25214</v>
      </c>
      <c r="U245">
        <f>Source!P167</f>
        <v>25214</v>
      </c>
      <c r="V245">
        <f>Source!S167</f>
        <v>0</v>
      </c>
      <c r="W245">
        <f>Source!Q167</f>
        <v>0</v>
      </c>
      <c r="X245">
        <f>Source!R167</f>
        <v>0</v>
      </c>
      <c r="Y245">
        <f>Source!U167</f>
        <v>0</v>
      </c>
      <c r="Z245">
        <f>Source!V167</f>
        <v>0</v>
      </c>
      <c r="AA245">
        <f>Source!X167</f>
        <v>0</v>
      </c>
      <c r="AB245">
        <f>Source!Y167</f>
        <v>0</v>
      </c>
    </row>
    <row r="246" spans="1:28" ht="14.25" x14ac:dyDescent="0.2">
      <c r="A246" s="48"/>
      <c r="B246" s="48"/>
      <c r="C246" s="55" t="str">
        <f>Source!H167</f>
        <v>шт.</v>
      </c>
      <c r="D246" s="51"/>
      <c r="E246" s="52">
        <f>Source!AF167</f>
        <v>0</v>
      </c>
      <c r="F246" s="52">
        <f>Source!AE167</f>
        <v>0</v>
      </c>
      <c r="G246" s="53"/>
      <c r="H246" s="53"/>
      <c r="I246" s="53">
        <f>Source!R167</f>
        <v>0</v>
      </c>
      <c r="J246" s="54">
        <f>Source!AI167</f>
        <v>0</v>
      </c>
      <c r="K246" s="54">
        <f>Source!V167</f>
        <v>0</v>
      </c>
    </row>
    <row r="247" spans="1:28" ht="28.5" x14ac:dyDescent="0.2">
      <c r="A247" s="49" t="str">
        <f>Source!E168</f>
        <v>25</v>
      </c>
      <c r="B247" s="49" t="str">
        <f>Source!F168</f>
        <v>01-02-061-1</v>
      </c>
      <c r="C247" s="50" t="str">
        <f>Source!G168</f>
        <v>Засыпка вручную траншей, пазух котлованов и ям, группа грунтов: 1</v>
      </c>
      <c r="D247" s="51">
        <f>Source!I168</f>
        <v>7.7600000000000002E-2</v>
      </c>
      <c r="E247" s="52">
        <f>Source!AB168</f>
        <v>620.79999999999995</v>
      </c>
      <c r="F247" s="52">
        <f>Source!AD168</f>
        <v>0</v>
      </c>
      <c r="G247" s="53">
        <f>Source!O168</f>
        <v>48</v>
      </c>
      <c r="H247" s="53">
        <f>Source!S168</f>
        <v>48</v>
      </c>
      <c r="I247" s="53">
        <f>Source!Q168</f>
        <v>0</v>
      </c>
      <c r="J247" s="54">
        <f>Source!AH168</f>
        <v>101.77499999999999</v>
      </c>
      <c r="K247" s="54">
        <f>Source!U168</f>
        <v>7.8977399999999998</v>
      </c>
      <c r="T247">
        <f>Source!O168+Source!X168+Source!Y168</f>
        <v>104</v>
      </c>
      <c r="U247">
        <f>Source!P168</f>
        <v>0</v>
      </c>
      <c r="V247">
        <f>Source!S168</f>
        <v>48</v>
      </c>
      <c r="W247">
        <f>Source!Q168</f>
        <v>0</v>
      </c>
      <c r="X247">
        <f>Source!R168</f>
        <v>0</v>
      </c>
      <c r="Y247">
        <f>Source!U168</f>
        <v>7.8977399999999998</v>
      </c>
      <c r="Z247">
        <f>Source!V168</f>
        <v>0</v>
      </c>
      <c r="AA247">
        <f>Source!X168</f>
        <v>38</v>
      </c>
      <c r="AB247">
        <f>Source!Y168</f>
        <v>18</v>
      </c>
    </row>
    <row r="248" spans="1:28" ht="14.25" x14ac:dyDescent="0.2">
      <c r="A248" s="48"/>
      <c r="B248" s="48"/>
      <c r="C248" s="55" t="str">
        <f>Source!H168</f>
        <v>100 м3 грунта</v>
      </c>
      <c r="D248" s="51"/>
      <c r="E248" s="52">
        <f>Source!AF168</f>
        <v>620.79999999999995</v>
      </c>
      <c r="F248" s="52">
        <f>Source!AE168</f>
        <v>0</v>
      </c>
      <c r="G248" s="53"/>
      <c r="H248" s="53"/>
      <c r="I248" s="53">
        <f>Source!R168</f>
        <v>0</v>
      </c>
      <c r="J248" s="54">
        <f>Source!AI168</f>
        <v>0</v>
      </c>
      <c r="K248" s="54">
        <f>Source!V168</f>
        <v>0</v>
      </c>
    </row>
    <row r="249" spans="1:28" x14ac:dyDescent="0.2">
      <c r="A249" s="48"/>
      <c r="B249" s="48"/>
      <c r="C249" s="60" t="str">
        <f>"Объем: "&amp;Source!I168&amp;"=("&amp;Source!I166&amp;"*"&amp;"100*"&amp;"0,1*"&amp;"0,18)/"&amp;"100"</f>
        <v>Объем: 0,0776=(4,31*100*0,1*0,18)/100</v>
      </c>
      <c r="D249" s="48"/>
      <c r="E249" s="48"/>
      <c r="F249" s="48"/>
      <c r="G249" s="48"/>
      <c r="H249" s="48"/>
      <c r="I249" s="48"/>
      <c r="J249" s="48"/>
      <c r="K249" s="48"/>
    </row>
    <row r="250" spans="1:28" x14ac:dyDescent="0.2">
      <c r="A250" s="48"/>
      <c r="B250" s="48"/>
      <c r="C250" s="60" t="s">
        <v>698</v>
      </c>
      <c r="D250" s="74" t="s">
        <v>11</v>
      </c>
      <c r="E250" s="74"/>
      <c r="F250" s="74"/>
      <c r="G250" s="74"/>
      <c r="H250" s="74"/>
      <c r="I250" s="74"/>
      <c r="J250" s="74"/>
      <c r="K250" s="74"/>
    </row>
    <row r="251" spans="1:28" x14ac:dyDescent="0.2">
      <c r="A251" s="48"/>
      <c r="B251" s="48"/>
      <c r="C251" s="60" t="s">
        <v>699</v>
      </c>
      <c r="D251" s="74" t="s">
        <v>11</v>
      </c>
      <c r="E251" s="74"/>
      <c r="F251" s="74"/>
      <c r="G251" s="74"/>
      <c r="H251" s="74"/>
      <c r="I251" s="74"/>
      <c r="J251" s="74"/>
      <c r="K251" s="74"/>
    </row>
    <row r="252" spans="1:28" x14ac:dyDescent="0.2">
      <c r="A252" s="48"/>
      <c r="B252" s="48"/>
      <c r="C252" s="60" t="s">
        <v>700</v>
      </c>
      <c r="D252" s="74" t="s">
        <v>12</v>
      </c>
      <c r="E252" s="74"/>
      <c r="F252" s="74"/>
      <c r="G252" s="74"/>
      <c r="H252" s="74"/>
      <c r="I252" s="74"/>
      <c r="J252" s="74"/>
      <c r="K252" s="74"/>
    </row>
    <row r="253" spans="1:28" x14ac:dyDescent="0.2">
      <c r="A253" s="48"/>
      <c r="B253" s="48"/>
      <c r="C253" s="60" t="s">
        <v>701</v>
      </c>
      <c r="D253" s="74" t="s">
        <v>12</v>
      </c>
      <c r="E253" s="74"/>
      <c r="F253" s="74"/>
      <c r="G253" s="74"/>
      <c r="H253" s="74"/>
      <c r="I253" s="74"/>
      <c r="J253" s="74"/>
      <c r="K253" s="74"/>
    </row>
    <row r="254" spans="1:28" x14ac:dyDescent="0.2">
      <c r="A254" s="48"/>
      <c r="B254" s="48"/>
      <c r="C254" s="60" t="s">
        <v>702</v>
      </c>
      <c r="D254" s="74" t="s">
        <v>11</v>
      </c>
      <c r="E254" s="74"/>
      <c r="F254" s="74"/>
      <c r="G254" s="74"/>
      <c r="H254" s="74"/>
      <c r="I254" s="74"/>
      <c r="J254" s="74"/>
      <c r="K254" s="74"/>
    </row>
    <row r="255" spans="1:28" x14ac:dyDescent="0.2">
      <c r="A255" s="48"/>
      <c r="B255" s="48"/>
      <c r="C255" s="56" t="s">
        <v>695</v>
      </c>
      <c r="D255" s="57">
        <f>Source!BZ168</f>
        <v>80</v>
      </c>
      <c r="E255" s="58">
        <f>(Source!AF168+Source!AE168)*Source!FX168/100</f>
        <v>496.64</v>
      </c>
      <c r="F255" s="57"/>
      <c r="G255" s="59">
        <f>Source!X168</f>
        <v>38</v>
      </c>
      <c r="H255" s="57" t="str">
        <f>CONCATENATE(Source!AT168)</f>
        <v>80</v>
      </c>
      <c r="I255" s="57"/>
      <c r="J255" s="57"/>
      <c r="K255" s="57"/>
    </row>
    <row r="256" spans="1:28" x14ac:dyDescent="0.2">
      <c r="A256" s="48"/>
      <c r="B256" s="48"/>
      <c r="C256" s="56" t="s">
        <v>696</v>
      </c>
      <c r="D256" s="57">
        <f>Source!CA168</f>
        <v>45</v>
      </c>
      <c r="E256" s="58">
        <f>(Source!AF168+Source!AE168)*Source!FY168/100</f>
        <v>237.45599999999999</v>
      </c>
      <c r="F256" s="57" t="str">
        <f>CONCATENATE(Source!DM168,Source!FU168, "=", Source!FY168, "%")</f>
        <v>*0,85=38,25%</v>
      </c>
      <c r="G256" s="59">
        <f>Source!Y168</f>
        <v>18</v>
      </c>
      <c r="H256" s="57" t="str">
        <f>CONCATENATE(Source!AU168)</f>
        <v>38</v>
      </c>
      <c r="I256" s="57"/>
      <c r="J256" s="57"/>
      <c r="K256" s="57"/>
    </row>
    <row r="257" spans="1:33" x14ac:dyDescent="0.2">
      <c r="A257" s="48"/>
      <c r="B257" s="48"/>
      <c r="C257" s="56" t="s">
        <v>697</v>
      </c>
      <c r="D257" s="57"/>
      <c r="E257" s="58">
        <f>((Source!AF168+Source!AE168)*Source!FX168/100)+((Source!AF168+Source!AE168)*Source!FY168/100)+Source!AB168</f>
        <v>1354.896</v>
      </c>
      <c r="F257" s="57"/>
      <c r="G257" s="59">
        <f>Source!O168+Source!X168+Source!Y168</f>
        <v>104</v>
      </c>
      <c r="H257" s="57"/>
      <c r="I257" s="57"/>
      <c r="J257" s="57"/>
      <c r="K257" s="57"/>
    </row>
    <row r="258" spans="1:33" ht="42.75" x14ac:dyDescent="0.2">
      <c r="A258" s="49" t="str">
        <f>Source!E169</f>
        <v>26</v>
      </c>
      <c r="B258" s="49" t="str">
        <f>Source!F169</f>
        <v>пг01-01-01-039</v>
      </c>
      <c r="C258" s="50" t="str">
        <f>Source!G169</f>
        <v>Погрузочные работы при автомобильных перевозках: грунта растительного слоя (земля, перегной)</v>
      </c>
      <c r="D258" s="51">
        <f>Source!I169</f>
        <v>46.545000000000002</v>
      </c>
      <c r="E258" s="52">
        <f>Source!AB169</f>
        <v>4.3</v>
      </c>
      <c r="F258" s="52">
        <f>Source!AD169</f>
        <v>4.3</v>
      </c>
      <c r="G258" s="53">
        <f>Source!O169</f>
        <v>200</v>
      </c>
      <c r="H258" s="53">
        <f>Source!S169</f>
        <v>0</v>
      </c>
      <c r="I258" s="53">
        <f>Source!Q169</f>
        <v>200</v>
      </c>
      <c r="J258" s="54">
        <f>Source!AH169</f>
        <v>0</v>
      </c>
      <c r="K258" s="54">
        <f>Source!U169</f>
        <v>0</v>
      </c>
      <c r="T258">
        <f>Source!O169+Source!X169+Source!Y169</f>
        <v>200</v>
      </c>
      <c r="U258">
        <f>Source!P169</f>
        <v>0</v>
      </c>
      <c r="V258">
        <f>Source!S169</f>
        <v>0</v>
      </c>
      <c r="W258">
        <f>Source!Q169</f>
        <v>200</v>
      </c>
      <c r="X258">
        <f>Source!R169</f>
        <v>0</v>
      </c>
      <c r="Y258">
        <f>Source!U169</f>
        <v>0</v>
      </c>
      <c r="Z258">
        <f>Source!V169</f>
        <v>0</v>
      </c>
      <c r="AA258">
        <f>Source!X169</f>
        <v>0</v>
      </c>
      <c r="AB258">
        <f>Source!Y169</f>
        <v>0</v>
      </c>
    </row>
    <row r="259" spans="1:33" ht="14.25" x14ac:dyDescent="0.2">
      <c r="A259" s="48"/>
      <c r="B259" s="48"/>
      <c r="C259" s="55" t="str">
        <f>Source!H169</f>
        <v>1 Т ГРУЗА</v>
      </c>
      <c r="D259" s="51"/>
      <c r="E259" s="52">
        <f>Source!AF169</f>
        <v>0</v>
      </c>
      <c r="F259" s="52">
        <f>Source!AE169</f>
        <v>0</v>
      </c>
      <c r="G259" s="53"/>
      <c r="H259" s="53"/>
      <c r="I259" s="53">
        <f>Source!R169</f>
        <v>0</v>
      </c>
      <c r="J259" s="54">
        <f>Source!AI169</f>
        <v>0</v>
      </c>
      <c r="K259" s="54">
        <f>Source!V169</f>
        <v>0</v>
      </c>
    </row>
    <row r="260" spans="1:33" ht="25.5" x14ac:dyDescent="0.2">
      <c r="A260" s="48"/>
      <c r="B260" s="48"/>
      <c r="C260" s="60" t="str">
        <f>"Объем: "&amp;Source!I169&amp;"="&amp;Source!I163&amp;"*"&amp;"100*"&amp;"1,5-"&amp;""&amp;Source!I168&amp;"*"&amp;"100*"&amp;"1,5"</f>
        <v>Объем: 46,545=0,3879*100*1,5-0,0776*100*1,5</v>
      </c>
      <c r="D260" s="48"/>
      <c r="E260" s="48"/>
      <c r="F260" s="48"/>
      <c r="G260" s="48"/>
      <c r="H260" s="48"/>
      <c r="I260" s="48"/>
      <c r="J260" s="48"/>
      <c r="K260" s="48"/>
    </row>
    <row r="261" spans="1:33" ht="57" x14ac:dyDescent="0.2">
      <c r="A261" s="49" t="str">
        <f>Source!E170</f>
        <v>27</v>
      </c>
      <c r="B261" s="49" t="str">
        <f>Source!F170</f>
        <v>пг03-21-01-005</v>
      </c>
      <c r="C261" s="50" t="str">
        <f>Source!G170</f>
        <v>Перевозка грузов автомобилями-самосвалами грузоподъемностью 10 т, работающих вне карьера, на расстояние: до 5 км I класс груза</v>
      </c>
      <c r="D261" s="51">
        <f>Source!I170</f>
        <v>46.545000000000002</v>
      </c>
      <c r="E261" s="52">
        <f>Source!AB170</f>
        <v>6.7</v>
      </c>
      <c r="F261" s="52">
        <f>Source!AD170</f>
        <v>6.7</v>
      </c>
      <c r="G261" s="53">
        <f>Source!O170</f>
        <v>312</v>
      </c>
      <c r="H261" s="53">
        <f>Source!S170</f>
        <v>0</v>
      </c>
      <c r="I261" s="53">
        <f>Source!Q170</f>
        <v>312</v>
      </c>
      <c r="J261" s="54">
        <f>Source!AH170</f>
        <v>0</v>
      </c>
      <c r="K261" s="54">
        <f>Source!U170</f>
        <v>0</v>
      </c>
      <c r="T261">
        <f>Source!O170+Source!X170+Source!Y170</f>
        <v>312</v>
      </c>
      <c r="U261">
        <f>Source!P170</f>
        <v>0</v>
      </c>
      <c r="V261">
        <f>Source!S170</f>
        <v>0</v>
      </c>
      <c r="W261">
        <f>Source!Q170</f>
        <v>312</v>
      </c>
      <c r="X261">
        <f>Source!R170</f>
        <v>0</v>
      </c>
      <c r="Y261">
        <f>Source!U170</f>
        <v>0</v>
      </c>
      <c r="Z261">
        <f>Source!V170</f>
        <v>0</v>
      </c>
      <c r="AA261">
        <f>Source!X170</f>
        <v>0</v>
      </c>
      <c r="AB261">
        <f>Source!Y170</f>
        <v>0</v>
      </c>
    </row>
    <row r="262" spans="1:33" ht="14.25" x14ac:dyDescent="0.2">
      <c r="A262" s="48"/>
      <c r="B262" s="48"/>
      <c r="C262" s="55" t="str">
        <f>Source!H170</f>
        <v>1 Т ГРУЗА</v>
      </c>
      <c r="D262" s="51"/>
      <c r="E262" s="52">
        <f>Source!AF170</f>
        <v>0</v>
      </c>
      <c r="F262" s="52">
        <f>Source!AE170</f>
        <v>0</v>
      </c>
      <c r="G262" s="53"/>
      <c r="H262" s="53"/>
      <c r="I262" s="53">
        <f>Source!R170</f>
        <v>0</v>
      </c>
      <c r="J262" s="54">
        <f>Source!AI170</f>
        <v>0</v>
      </c>
      <c r="K262" s="54">
        <f>Source!V170</f>
        <v>0</v>
      </c>
    </row>
    <row r="263" spans="1:33" x14ac:dyDescent="0.2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</row>
    <row r="264" spans="1:33" ht="15" x14ac:dyDescent="0.25">
      <c r="A264" s="61"/>
      <c r="B264" s="61"/>
      <c r="C264" s="77" t="str">
        <f>CONCATENATE("Итого по подразделу: ",IF(Source!G172&lt;&gt;"Новый подраздел", Source!G172, ""))</f>
        <v>Итого по подразделу: Установка бортовых камней БК 100.30.15 - 431м</v>
      </c>
      <c r="D264" s="77"/>
      <c r="E264" s="77"/>
      <c r="F264" s="77"/>
      <c r="G264" s="62">
        <f>IF(SUM(T209:T263)=0, "-", SUM(T209:T263))</f>
        <v>52130</v>
      </c>
      <c r="H264" s="62">
        <f>IF(SUM(V209:V263)=0, "-", SUM(V209:V263))</f>
        <v>3092</v>
      </c>
      <c r="I264" s="62">
        <f>IF(SUM(W209:W263)=0, "-", SUM(W209:W263))</f>
        <v>1264</v>
      </c>
      <c r="J264" s="62"/>
      <c r="K264" s="63">
        <f>IF(SUM(Y209:Y263)=0, "-", SUM(Y209:Y263))</f>
        <v>455.84406559999991</v>
      </c>
      <c r="AG264" s="13" t="str">
        <f>CONCATENATE("Итого по подразделу: ",IF(Source!G172&lt;&gt;"Новый подраздел", Source!G172, ""))</f>
        <v>Итого по подразделу: Установка бортовых камней БК 100.30.15 - 431м</v>
      </c>
    </row>
    <row r="265" spans="1:33" ht="15" x14ac:dyDescent="0.25">
      <c r="A265" s="61"/>
      <c r="B265" s="61"/>
      <c r="C265" s="61"/>
      <c r="D265" s="61"/>
      <c r="E265" s="61"/>
      <c r="F265" s="61"/>
      <c r="G265" s="62"/>
      <c r="H265" s="62"/>
      <c r="I265" s="62">
        <f>IF(SUM(X209:X263)=0, "-", SUM(X209:X263))</f>
        <v>76</v>
      </c>
      <c r="J265" s="62"/>
      <c r="K265" s="63">
        <f>IF(SUM(Z209:Z263)=0, "-", SUM(Z209:Z263))</f>
        <v>5.6616999999999997</v>
      </c>
    </row>
    <row r="266" spans="1:33" x14ac:dyDescent="0.2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</row>
    <row r="267" spans="1:33" x14ac:dyDescent="0.2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</row>
    <row r="268" spans="1:33" x14ac:dyDescent="0.2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</row>
    <row r="269" spans="1:33" ht="16.5" x14ac:dyDescent="0.25">
      <c r="A269" s="73" t="str">
        <f>CONCATENATE("Подраздел: ",IF(Source!G202&lt;&gt;"Новый подраздел", Source!G202, ""))</f>
        <v>Подраздел: Установка бортовых камней БК 100.20.8 -365,4м</v>
      </c>
      <c r="B269" s="73"/>
      <c r="C269" s="73"/>
      <c r="D269" s="73"/>
      <c r="E269" s="73"/>
      <c r="F269" s="73"/>
      <c r="G269" s="73"/>
      <c r="H269" s="73"/>
      <c r="I269" s="73"/>
      <c r="J269" s="73"/>
      <c r="K269" s="73"/>
    </row>
    <row r="270" spans="1:33" ht="42.75" x14ac:dyDescent="0.2">
      <c r="A270" s="49" t="str">
        <f>Source!E206</f>
        <v>28</v>
      </c>
      <c r="B270" s="49" t="str">
        <f>Source!F206</f>
        <v>01-02-057-2</v>
      </c>
      <c r="C270" s="50" t="str">
        <f>Source!G206</f>
        <v>Разработка грунта вручную в траншеях глубиной до 2 м без креплений с откосами, группа грунтов: 2</v>
      </c>
      <c r="D270" s="51">
        <f>Source!I206</f>
        <v>0.32890000000000003</v>
      </c>
      <c r="E270" s="52">
        <f>Source!AB206</f>
        <v>1124.5999999999999</v>
      </c>
      <c r="F270" s="52">
        <f>Source!AD206</f>
        <v>0</v>
      </c>
      <c r="G270" s="53">
        <f>Source!O206</f>
        <v>370</v>
      </c>
      <c r="H270" s="53">
        <f>Source!S206</f>
        <v>370</v>
      </c>
      <c r="I270" s="53">
        <f>Source!Q206</f>
        <v>0</v>
      </c>
      <c r="J270" s="54">
        <f>Source!AH206</f>
        <v>177.1</v>
      </c>
      <c r="K270" s="54">
        <f>Source!U206</f>
        <v>58.248190000000001</v>
      </c>
      <c r="T270">
        <f>Source!O206+Source!X206+Source!Y206</f>
        <v>807</v>
      </c>
      <c r="U270">
        <f>Source!P206</f>
        <v>0</v>
      </c>
      <c r="V270">
        <f>Source!S206</f>
        <v>370</v>
      </c>
      <c r="W270">
        <f>Source!Q206</f>
        <v>0</v>
      </c>
      <c r="X270">
        <f>Source!R206</f>
        <v>0</v>
      </c>
      <c r="Y270">
        <f>Source!U206</f>
        <v>58.248190000000001</v>
      </c>
      <c r="Z270">
        <f>Source!V206</f>
        <v>0</v>
      </c>
      <c r="AA270">
        <f>Source!X206</f>
        <v>296</v>
      </c>
      <c r="AB270">
        <f>Source!Y206</f>
        <v>141</v>
      </c>
    </row>
    <row r="271" spans="1:33" ht="14.25" x14ac:dyDescent="0.2">
      <c r="A271" s="48"/>
      <c r="B271" s="48"/>
      <c r="C271" s="55" t="str">
        <f>Source!H206</f>
        <v>100 м3 грунта</v>
      </c>
      <c r="D271" s="51"/>
      <c r="E271" s="52">
        <f>Source!AF206</f>
        <v>1124.5999999999999</v>
      </c>
      <c r="F271" s="52">
        <f>Source!AE206</f>
        <v>0</v>
      </c>
      <c r="G271" s="53"/>
      <c r="H271" s="53"/>
      <c r="I271" s="53">
        <f>Source!R206</f>
        <v>0</v>
      </c>
      <c r="J271" s="54">
        <f>Source!AI206</f>
        <v>0</v>
      </c>
      <c r="K271" s="54">
        <f>Source!V206</f>
        <v>0</v>
      </c>
    </row>
    <row r="272" spans="1:33" x14ac:dyDescent="0.2">
      <c r="A272" s="48"/>
      <c r="B272" s="48"/>
      <c r="C272" s="60" t="str">
        <f>"Объем: "&amp;Source!I206&amp;"=("&amp;Source!I209&amp;"*"&amp;"100*"&amp;"0,09)/"&amp;"100"</f>
        <v>Объем: 0,3289=(3,654*100*0,09)/100</v>
      </c>
      <c r="D272" s="48"/>
      <c r="E272" s="48"/>
      <c r="F272" s="48"/>
      <c r="G272" s="48"/>
      <c r="H272" s="48"/>
      <c r="I272" s="48"/>
      <c r="J272" s="48"/>
      <c r="K272" s="48"/>
    </row>
    <row r="273" spans="1:28" x14ac:dyDescent="0.2">
      <c r="A273" s="48"/>
      <c r="B273" s="48"/>
      <c r="C273" s="60" t="s">
        <v>698</v>
      </c>
      <c r="D273" s="74" t="s">
        <v>11</v>
      </c>
      <c r="E273" s="74"/>
      <c r="F273" s="74"/>
      <c r="G273" s="74"/>
      <c r="H273" s="74"/>
      <c r="I273" s="74"/>
      <c r="J273" s="74"/>
      <c r="K273" s="74"/>
    </row>
    <row r="274" spans="1:28" x14ac:dyDescent="0.2">
      <c r="A274" s="48"/>
      <c r="B274" s="48"/>
      <c r="C274" s="60" t="s">
        <v>699</v>
      </c>
      <c r="D274" s="74" t="s">
        <v>11</v>
      </c>
      <c r="E274" s="74"/>
      <c r="F274" s="74"/>
      <c r="G274" s="74"/>
      <c r="H274" s="74"/>
      <c r="I274" s="74"/>
      <c r="J274" s="74"/>
      <c r="K274" s="74"/>
    </row>
    <row r="275" spans="1:28" x14ac:dyDescent="0.2">
      <c r="A275" s="48"/>
      <c r="B275" s="48"/>
      <c r="C275" s="60" t="s">
        <v>700</v>
      </c>
      <c r="D275" s="74" t="s">
        <v>12</v>
      </c>
      <c r="E275" s="74"/>
      <c r="F275" s="74"/>
      <c r="G275" s="74"/>
      <c r="H275" s="74"/>
      <c r="I275" s="74"/>
      <c r="J275" s="74"/>
      <c r="K275" s="74"/>
    </row>
    <row r="276" spans="1:28" x14ac:dyDescent="0.2">
      <c r="A276" s="48"/>
      <c r="B276" s="48"/>
      <c r="C276" s="60" t="s">
        <v>701</v>
      </c>
      <c r="D276" s="74" t="s">
        <v>12</v>
      </c>
      <c r="E276" s="74"/>
      <c r="F276" s="74"/>
      <c r="G276" s="74"/>
      <c r="H276" s="74"/>
      <c r="I276" s="74"/>
      <c r="J276" s="74"/>
      <c r="K276" s="74"/>
    </row>
    <row r="277" spans="1:28" x14ac:dyDescent="0.2">
      <c r="A277" s="48"/>
      <c r="B277" s="48"/>
      <c r="C277" s="60" t="s">
        <v>702</v>
      </c>
      <c r="D277" s="74" t="s">
        <v>11</v>
      </c>
      <c r="E277" s="74"/>
      <c r="F277" s="74"/>
      <c r="G277" s="74"/>
      <c r="H277" s="74"/>
      <c r="I277" s="74"/>
      <c r="J277" s="74"/>
      <c r="K277" s="74"/>
    </row>
    <row r="278" spans="1:28" x14ac:dyDescent="0.2">
      <c r="A278" s="48"/>
      <c r="B278" s="48"/>
      <c r="C278" s="56" t="s">
        <v>695</v>
      </c>
      <c r="D278" s="57">
        <f>Source!BZ206</f>
        <v>80</v>
      </c>
      <c r="E278" s="58">
        <f>(Source!AF206+Source!AE206)*Source!FX206/100</f>
        <v>899.68</v>
      </c>
      <c r="F278" s="57"/>
      <c r="G278" s="59">
        <f>Source!X206</f>
        <v>296</v>
      </c>
      <c r="H278" s="57" t="str">
        <f>CONCATENATE(Source!AT206)</f>
        <v>80</v>
      </c>
      <c r="I278" s="57"/>
      <c r="J278" s="57"/>
      <c r="K278" s="57"/>
    </row>
    <row r="279" spans="1:28" x14ac:dyDescent="0.2">
      <c r="A279" s="48"/>
      <c r="B279" s="48"/>
      <c r="C279" s="56" t="s">
        <v>696</v>
      </c>
      <c r="D279" s="57">
        <f>Source!CA206</f>
        <v>45</v>
      </c>
      <c r="E279" s="58">
        <f>(Source!AF206+Source!AE206)*Source!FY206/100</f>
        <v>430.15949999999998</v>
      </c>
      <c r="F279" s="57" t="str">
        <f>CONCATENATE(Source!DM206,Source!FU206, "=", Source!FY206, "%")</f>
        <v>*0,85=38,25%</v>
      </c>
      <c r="G279" s="59">
        <f>Source!Y206</f>
        <v>141</v>
      </c>
      <c r="H279" s="57" t="str">
        <f>CONCATENATE(Source!AU206)</f>
        <v>38</v>
      </c>
      <c r="I279" s="57"/>
      <c r="J279" s="57"/>
      <c r="K279" s="57"/>
    </row>
    <row r="280" spans="1:28" x14ac:dyDescent="0.2">
      <c r="A280" s="48"/>
      <c r="B280" s="48"/>
      <c r="C280" s="56" t="s">
        <v>697</v>
      </c>
      <c r="D280" s="57"/>
      <c r="E280" s="58">
        <f>((Source!AF206+Source!AE206)*Source!FX206/100)+((Source!AF206+Source!AE206)*Source!FY206/100)+Source!AB206</f>
        <v>2454.4395</v>
      </c>
      <c r="F280" s="57"/>
      <c r="G280" s="59">
        <f>Source!O206+Source!X206+Source!Y206</f>
        <v>807</v>
      </c>
      <c r="H280" s="57"/>
      <c r="I280" s="57"/>
      <c r="J280" s="57"/>
      <c r="K280" s="57"/>
    </row>
    <row r="281" spans="1:28" ht="42.75" x14ac:dyDescent="0.2">
      <c r="A281" s="49" t="str">
        <f>Source!E207</f>
        <v>29</v>
      </c>
      <c r="B281" s="49" t="str">
        <f>Source!F207</f>
        <v>27-04-001-4</v>
      </c>
      <c r="C281" s="50" t="str">
        <f>Source!G207</f>
        <v>Устройство подстилающих и выравнивающих слоев оснований: из щебня</v>
      </c>
      <c r="D281" s="51">
        <f>Source!I207</f>
        <v>2.92E-2</v>
      </c>
      <c r="E281" s="52">
        <f>Source!AB207</f>
        <v>4369.3999999999996</v>
      </c>
      <c r="F281" s="52">
        <f>Source!AD207</f>
        <v>4170.6000000000004</v>
      </c>
      <c r="G281" s="53">
        <f>Source!O207</f>
        <v>127</v>
      </c>
      <c r="H281" s="53">
        <f>Source!S207</f>
        <v>5</v>
      </c>
      <c r="I281" s="53">
        <f>Source!Q207</f>
        <v>122</v>
      </c>
      <c r="J281" s="54">
        <f>Source!AH207</f>
        <v>27.8185</v>
      </c>
      <c r="K281" s="54">
        <f>Source!U207</f>
        <v>0.81230020000000003</v>
      </c>
      <c r="T281">
        <f>Source!O207+Source!X207+Source!Y207</f>
        <v>160</v>
      </c>
      <c r="U281">
        <f>Source!P207</f>
        <v>0</v>
      </c>
      <c r="V281">
        <f>Source!S207</f>
        <v>5</v>
      </c>
      <c r="W281">
        <f>Source!Q207</f>
        <v>122</v>
      </c>
      <c r="X281">
        <f>Source!R207</f>
        <v>10</v>
      </c>
      <c r="Y281">
        <f>Source!U207</f>
        <v>0.81230020000000003</v>
      </c>
      <c r="Z281">
        <f>Source!V207</f>
        <v>0.75190000000000001</v>
      </c>
      <c r="AA281">
        <f>Source!X207</f>
        <v>21</v>
      </c>
      <c r="AB281">
        <f>Source!Y207</f>
        <v>12</v>
      </c>
    </row>
    <row r="282" spans="1:28" ht="28.5" x14ac:dyDescent="0.2">
      <c r="A282" s="48"/>
      <c r="B282" s="48"/>
      <c r="C282" s="55" t="str">
        <f>Source!H207</f>
        <v>100 м3 материала основания (в плотном теле)</v>
      </c>
      <c r="D282" s="51"/>
      <c r="E282" s="52">
        <f>Source!AF207</f>
        <v>183</v>
      </c>
      <c r="F282" s="52">
        <f>Source!AE207</f>
        <v>342</v>
      </c>
      <c r="G282" s="53"/>
      <c r="H282" s="53"/>
      <c r="I282" s="53">
        <f>Source!R207</f>
        <v>10</v>
      </c>
      <c r="J282" s="54">
        <f>Source!AI207</f>
        <v>25.75</v>
      </c>
      <c r="K282" s="54">
        <f>Source!V207</f>
        <v>0.75190000000000001</v>
      </c>
    </row>
    <row r="283" spans="1:28" x14ac:dyDescent="0.2">
      <c r="A283" s="48"/>
      <c r="B283" s="48"/>
      <c r="C283" s="60" t="str">
        <f>"Объем: "&amp;Source!I207&amp;"=("&amp;Source!I209&amp;"*"&amp;"100*"&amp;"0,1*"&amp;"0,08)/"&amp;"100"</f>
        <v>Объем: 0,0292=(3,654*100*0,1*0,08)/100</v>
      </c>
      <c r="D283" s="48"/>
      <c r="E283" s="48"/>
      <c r="F283" s="48"/>
      <c r="G283" s="48"/>
      <c r="H283" s="48"/>
      <c r="I283" s="48"/>
      <c r="J283" s="48"/>
      <c r="K283" s="48"/>
    </row>
    <row r="284" spans="1:28" x14ac:dyDescent="0.2">
      <c r="A284" s="48"/>
      <c r="B284" s="48"/>
      <c r="C284" s="60" t="s">
        <v>698</v>
      </c>
      <c r="D284" s="74" t="s">
        <v>11</v>
      </c>
      <c r="E284" s="74"/>
      <c r="F284" s="74"/>
      <c r="G284" s="74"/>
      <c r="H284" s="74"/>
      <c r="I284" s="74"/>
      <c r="J284" s="74"/>
      <c r="K284" s="74"/>
    </row>
    <row r="285" spans="1:28" x14ac:dyDescent="0.2">
      <c r="A285" s="48"/>
      <c r="B285" s="48"/>
      <c r="C285" s="60" t="s">
        <v>699</v>
      </c>
      <c r="D285" s="74" t="s">
        <v>11</v>
      </c>
      <c r="E285" s="74"/>
      <c r="F285" s="74"/>
      <c r="G285" s="74"/>
      <c r="H285" s="74"/>
      <c r="I285" s="74"/>
      <c r="J285" s="74"/>
      <c r="K285" s="74"/>
    </row>
    <row r="286" spans="1:28" x14ac:dyDescent="0.2">
      <c r="A286" s="48"/>
      <c r="B286" s="48"/>
      <c r="C286" s="60" t="s">
        <v>700</v>
      </c>
      <c r="D286" s="74" t="s">
        <v>12</v>
      </c>
      <c r="E286" s="74"/>
      <c r="F286" s="74"/>
      <c r="G286" s="74"/>
      <c r="H286" s="74"/>
      <c r="I286" s="74"/>
      <c r="J286" s="74"/>
      <c r="K286" s="74"/>
    </row>
    <row r="287" spans="1:28" x14ac:dyDescent="0.2">
      <c r="A287" s="48"/>
      <c r="B287" s="48"/>
      <c r="C287" s="60" t="s">
        <v>701</v>
      </c>
      <c r="D287" s="74" t="s">
        <v>12</v>
      </c>
      <c r="E287" s="74"/>
      <c r="F287" s="74"/>
      <c r="G287" s="74"/>
      <c r="H287" s="74"/>
      <c r="I287" s="74"/>
      <c r="J287" s="74"/>
      <c r="K287" s="74"/>
    </row>
    <row r="288" spans="1:28" x14ac:dyDescent="0.2">
      <c r="A288" s="48"/>
      <c r="B288" s="48"/>
      <c r="C288" s="60" t="s">
        <v>702</v>
      </c>
      <c r="D288" s="74" t="s">
        <v>11</v>
      </c>
      <c r="E288" s="74"/>
      <c r="F288" s="74"/>
      <c r="G288" s="74"/>
      <c r="H288" s="74"/>
      <c r="I288" s="74"/>
      <c r="J288" s="74"/>
      <c r="K288" s="74"/>
    </row>
    <row r="289" spans="1:28" x14ac:dyDescent="0.2">
      <c r="A289" s="48"/>
      <c r="B289" s="48"/>
      <c r="C289" s="56" t="s">
        <v>695</v>
      </c>
      <c r="D289" s="57">
        <f>Source!BZ207</f>
        <v>142</v>
      </c>
      <c r="E289" s="58">
        <f>(Source!AF207+Source!AE207)*Source!FX207/100</f>
        <v>745.5</v>
      </c>
      <c r="F289" s="57"/>
      <c r="G289" s="59">
        <f>Source!X207</f>
        <v>21</v>
      </c>
      <c r="H289" s="57" t="str">
        <f>CONCATENATE(Source!AT207)</f>
        <v>142</v>
      </c>
      <c r="I289" s="57"/>
      <c r="J289" s="57"/>
      <c r="K289" s="57"/>
    </row>
    <row r="290" spans="1:28" x14ac:dyDescent="0.2">
      <c r="A290" s="48"/>
      <c r="B290" s="48"/>
      <c r="C290" s="56" t="s">
        <v>696</v>
      </c>
      <c r="D290" s="57">
        <f>Source!CA207</f>
        <v>95</v>
      </c>
      <c r="E290" s="58">
        <f>(Source!AF207+Source!AE207)*Source!FY207/100</f>
        <v>423.9375</v>
      </c>
      <c r="F290" s="57" t="str">
        <f>CONCATENATE(Source!DM207,Source!FU207, "=", Source!FY207, "%")</f>
        <v>*0,85=80,75%</v>
      </c>
      <c r="G290" s="59">
        <f>Source!Y207</f>
        <v>12</v>
      </c>
      <c r="H290" s="57" t="str">
        <f>CONCATENATE(Source!AU207)</f>
        <v>81</v>
      </c>
      <c r="I290" s="57"/>
      <c r="J290" s="57"/>
      <c r="K290" s="57"/>
    </row>
    <row r="291" spans="1:28" x14ac:dyDescent="0.2">
      <c r="A291" s="48"/>
      <c r="B291" s="48"/>
      <c r="C291" s="56" t="s">
        <v>697</v>
      </c>
      <c r="D291" s="57"/>
      <c r="E291" s="58">
        <f>((Source!AF207+Source!AE207)*Source!FX207/100)+((Source!AF207+Source!AE207)*Source!FY207/100)+Source!AB207</f>
        <v>5538.8374999999996</v>
      </c>
      <c r="F291" s="57"/>
      <c r="G291" s="59">
        <f>Source!O207+Source!X207+Source!Y207</f>
        <v>160</v>
      </c>
      <c r="H291" s="57"/>
      <c r="I291" s="57"/>
      <c r="J291" s="57"/>
      <c r="K291" s="57"/>
    </row>
    <row r="292" spans="1:28" ht="42.75" x14ac:dyDescent="0.2">
      <c r="A292" s="49" t="str">
        <f>Source!E208</f>
        <v>29,1</v>
      </c>
      <c r="B292" s="49" t="str">
        <f>Source!F208</f>
        <v>408-0057</v>
      </c>
      <c r="C292" s="50" t="str">
        <f>Source!G208</f>
        <v>Щебень из природного камня для строительных работ марка 600, фракция 5 (3)-20 мм</v>
      </c>
      <c r="D292" s="51">
        <f>Source!I208</f>
        <v>3.6791999999999998</v>
      </c>
      <c r="E292" s="52">
        <f>Source!AB208</f>
        <v>127.2</v>
      </c>
      <c r="F292" s="52">
        <f>Source!AD208</f>
        <v>0</v>
      </c>
      <c r="G292" s="53">
        <f>Source!O208</f>
        <v>468</v>
      </c>
      <c r="H292" s="53">
        <f>Source!S208</f>
        <v>0</v>
      </c>
      <c r="I292" s="53">
        <f>Source!Q208</f>
        <v>0</v>
      </c>
      <c r="J292" s="54">
        <f>Source!AH208</f>
        <v>0</v>
      </c>
      <c r="K292" s="54">
        <f>Source!U208</f>
        <v>0</v>
      </c>
      <c r="T292">
        <f>Source!O208+Source!X208+Source!Y208</f>
        <v>468</v>
      </c>
      <c r="U292">
        <f>Source!P208</f>
        <v>468</v>
      </c>
      <c r="V292">
        <f>Source!S208</f>
        <v>0</v>
      </c>
      <c r="W292">
        <f>Source!Q208</f>
        <v>0</v>
      </c>
      <c r="X292">
        <f>Source!R208</f>
        <v>0</v>
      </c>
      <c r="Y292">
        <f>Source!U208</f>
        <v>0</v>
      </c>
      <c r="Z292">
        <f>Source!V208</f>
        <v>0</v>
      </c>
      <c r="AA292">
        <f>Source!X208</f>
        <v>0</v>
      </c>
      <c r="AB292">
        <f>Source!Y208</f>
        <v>0</v>
      </c>
    </row>
    <row r="293" spans="1:28" ht="14.25" x14ac:dyDescent="0.2">
      <c r="A293" s="48"/>
      <c r="B293" s="48"/>
      <c r="C293" s="55" t="str">
        <f>Source!H208</f>
        <v>м3</v>
      </c>
      <c r="D293" s="51"/>
      <c r="E293" s="52">
        <f>Source!AF208</f>
        <v>0</v>
      </c>
      <c r="F293" s="52">
        <f>Source!AE208</f>
        <v>0</v>
      </c>
      <c r="G293" s="53"/>
      <c r="H293" s="53"/>
      <c r="I293" s="53">
        <f>Source!R208</f>
        <v>0</v>
      </c>
      <c r="J293" s="54">
        <f>Source!AI208</f>
        <v>0</v>
      </c>
      <c r="K293" s="54">
        <f>Source!V208</f>
        <v>0</v>
      </c>
    </row>
    <row r="294" spans="1:28" ht="28.5" x14ac:dyDescent="0.2">
      <c r="A294" s="49" t="str">
        <f>Source!E209</f>
        <v>30</v>
      </c>
      <c r="B294" s="49" t="str">
        <f>Source!F209</f>
        <v>27-02-010-2</v>
      </c>
      <c r="C294" s="50" t="str">
        <f>Source!G209</f>
        <v>Установка бортовых камней бетонных: при других видах покрытий</v>
      </c>
      <c r="D294" s="51">
        <f>Source!I209</f>
        <v>3.6539999999999999</v>
      </c>
      <c r="E294" s="52">
        <f>Source!AB209</f>
        <v>4125.6000000000004</v>
      </c>
      <c r="F294" s="52">
        <f>Source!AD209</f>
        <v>99.3</v>
      </c>
      <c r="G294" s="53">
        <f>Source!O209</f>
        <v>15075</v>
      </c>
      <c r="H294" s="53">
        <f>Source!S209</f>
        <v>2199</v>
      </c>
      <c r="I294" s="53">
        <f>Source!Q209</f>
        <v>363</v>
      </c>
      <c r="J294" s="54">
        <f>Source!AH209</f>
        <v>87.49199999999999</v>
      </c>
      <c r="K294" s="54">
        <f>Source!U209</f>
        <v>319.69576799999993</v>
      </c>
      <c r="T294">
        <f>Source!O209+Source!X209+Source!Y209</f>
        <v>20070</v>
      </c>
      <c r="U294">
        <f>Source!P209</f>
        <v>12513</v>
      </c>
      <c r="V294">
        <f>Source!S209</f>
        <v>2199</v>
      </c>
      <c r="W294">
        <f>Source!Q209</f>
        <v>363</v>
      </c>
      <c r="X294">
        <f>Source!R209</f>
        <v>41</v>
      </c>
      <c r="Y294">
        <f>Source!U209</f>
        <v>319.69576799999993</v>
      </c>
      <c r="Z294">
        <f>Source!V209</f>
        <v>3.1059000000000001</v>
      </c>
      <c r="AA294">
        <f>Source!X209</f>
        <v>3181</v>
      </c>
      <c r="AB294">
        <f>Source!Y209</f>
        <v>1814</v>
      </c>
    </row>
    <row r="295" spans="1:28" ht="14.25" x14ac:dyDescent="0.2">
      <c r="A295" s="48"/>
      <c r="B295" s="48"/>
      <c r="C295" s="55" t="str">
        <f>Source!H209</f>
        <v>100 м бортового камня</v>
      </c>
      <c r="D295" s="51"/>
      <c r="E295" s="52">
        <f>Source!AF209</f>
        <v>601.9</v>
      </c>
      <c r="F295" s="52">
        <f>Source!AE209</f>
        <v>11.3</v>
      </c>
      <c r="G295" s="53"/>
      <c r="H295" s="53"/>
      <c r="I295" s="53">
        <f>Source!R209</f>
        <v>41</v>
      </c>
      <c r="J295" s="54">
        <f>Source!AI209</f>
        <v>0.85000000000000009</v>
      </c>
      <c r="K295" s="54">
        <f>Source!V209</f>
        <v>3.1059000000000001</v>
      </c>
    </row>
    <row r="296" spans="1:28" x14ac:dyDescent="0.2">
      <c r="A296" s="48"/>
      <c r="B296" s="48"/>
      <c r="C296" s="60" t="str">
        <f>"Объем: "&amp;Source!I209&amp;"=365,4/"&amp;"100"</f>
        <v>Объем: 3,654=365,4/100</v>
      </c>
      <c r="D296" s="48"/>
      <c r="E296" s="48"/>
      <c r="F296" s="48"/>
      <c r="G296" s="48"/>
      <c r="H296" s="48"/>
      <c r="I296" s="48"/>
      <c r="J296" s="48"/>
      <c r="K296" s="48"/>
    </row>
    <row r="297" spans="1:28" x14ac:dyDescent="0.2">
      <c r="A297" s="48"/>
      <c r="B297" s="48"/>
      <c r="C297" s="60" t="s">
        <v>698</v>
      </c>
      <c r="D297" s="74" t="s">
        <v>11</v>
      </c>
      <c r="E297" s="74"/>
      <c r="F297" s="74"/>
      <c r="G297" s="74"/>
      <c r="H297" s="74"/>
      <c r="I297" s="74"/>
      <c r="J297" s="74"/>
      <c r="K297" s="74"/>
    </row>
    <row r="298" spans="1:28" x14ac:dyDescent="0.2">
      <c r="A298" s="48"/>
      <c r="B298" s="48"/>
      <c r="C298" s="60" t="s">
        <v>699</v>
      </c>
      <c r="D298" s="74" t="s">
        <v>11</v>
      </c>
      <c r="E298" s="74"/>
      <c r="F298" s="74"/>
      <c r="G298" s="74"/>
      <c r="H298" s="74"/>
      <c r="I298" s="74"/>
      <c r="J298" s="74"/>
      <c r="K298" s="74"/>
    </row>
    <row r="299" spans="1:28" x14ac:dyDescent="0.2">
      <c r="A299" s="48"/>
      <c r="B299" s="48"/>
      <c r="C299" s="60" t="s">
        <v>700</v>
      </c>
      <c r="D299" s="74" t="s">
        <v>12</v>
      </c>
      <c r="E299" s="74"/>
      <c r="F299" s="74"/>
      <c r="G299" s="74"/>
      <c r="H299" s="74"/>
      <c r="I299" s="74"/>
      <c r="J299" s="74"/>
      <c r="K299" s="74"/>
    </row>
    <row r="300" spans="1:28" x14ac:dyDescent="0.2">
      <c r="A300" s="48"/>
      <c r="B300" s="48"/>
      <c r="C300" s="60" t="s">
        <v>701</v>
      </c>
      <c r="D300" s="74" t="s">
        <v>12</v>
      </c>
      <c r="E300" s="74"/>
      <c r="F300" s="74"/>
      <c r="G300" s="74"/>
      <c r="H300" s="74"/>
      <c r="I300" s="74"/>
      <c r="J300" s="74"/>
      <c r="K300" s="74"/>
    </row>
    <row r="301" spans="1:28" x14ac:dyDescent="0.2">
      <c r="A301" s="48"/>
      <c r="B301" s="48"/>
      <c r="C301" s="60" t="s">
        <v>702</v>
      </c>
      <c r="D301" s="74" t="s">
        <v>11</v>
      </c>
      <c r="E301" s="74"/>
      <c r="F301" s="74"/>
      <c r="G301" s="74"/>
      <c r="H301" s="74"/>
      <c r="I301" s="74"/>
      <c r="J301" s="74"/>
      <c r="K301" s="74"/>
    </row>
    <row r="302" spans="1:28" x14ac:dyDescent="0.2">
      <c r="A302" s="48"/>
      <c r="B302" s="48"/>
      <c r="C302" s="56" t="s">
        <v>695</v>
      </c>
      <c r="D302" s="57">
        <f>Source!BZ209</f>
        <v>142</v>
      </c>
      <c r="E302" s="58">
        <f>(Source!AF209+Source!AE209)*Source!FX209/100</f>
        <v>870.74399999999991</v>
      </c>
      <c r="F302" s="57"/>
      <c r="G302" s="59">
        <f>Source!X209</f>
        <v>3181</v>
      </c>
      <c r="H302" s="57" t="str">
        <f>CONCATENATE(Source!AT209)</f>
        <v>142</v>
      </c>
      <c r="I302" s="57"/>
      <c r="J302" s="57"/>
      <c r="K302" s="57"/>
    </row>
    <row r="303" spans="1:28" x14ac:dyDescent="0.2">
      <c r="A303" s="48"/>
      <c r="B303" s="48"/>
      <c r="C303" s="56" t="s">
        <v>696</v>
      </c>
      <c r="D303" s="57">
        <f>Source!CA209</f>
        <v>95</v>
      </c>
      <c r="E303" s="58">
        <f>(Source!AF209+Source!AE209)*Source!FY209/100</f>
        <v>495.15899999999993</v>
      </c>
      <c r="F303" s="57" t="str">
        <f>CONCATENATE(Source!DM209,Source!FU209, "=", Source!FY209, "%")</f>
        <v>*0,85=80,75%</v>
      </c>
      <c r="G303" s="59">
        <f>Source!Y209</f>
        <v>1814</v>
      </c>
      <c r="H303" s="57" t="str">
        <f>CONCATENATE(Source!AU209)</f>
        <v>81</v>
      </c>
      <c r="I303" s="57"/>
      <c r="J303" s="57"/>
      <c r="K303" s="57"/>
    </row>
    <row r="304" spans="1:28" x14ac:dyDescent="0.2">
      <c r="A304" s="48"/>
      <c r="B304" s="48"/>
      <c r="C304" s="56" t="s">
        <v>697</v>
      </c>
      <c r="D304" s="57"/>
      <c r="E304" s="58">
        <f>((Source!AF209+Source!AE209)*Source!FX209/100)+((Source!AF209+Source!AE209)*Source!FY209/100)+Source!AB209</f>
        <v>5491.5030000000006</v>
      </c>
      <c r="F304" s="57"/>
      <c r="G304" s="59">
        <f>Source!O209+Source!X209+Source!Y209</f>
        <v>20070</v>
      </c>
      <c r="H304" s="57"/>
      <c r="I304" s="57"/>
      <c r="J304" s="57"/>
      <c r="K304" s="57"/>
    </row>
    <row r="305" spans="1:28" ht="42.75" x14ac:dyDescent="0.2">
      <c r="A305" s="49" t="str">
        <f>Source!E210</f>
        <v>30,1</v>
      </c>
      <c r="B305" s="49" t="str">
        <f>Source!F210</f>
        <v>403-8023</v>
      </c>
      <c r="C305" s="50" t="str">
        <f>Source!G210</f>
        <v>Камни бортовые БР 100.20.8 /бетон В22,5 (М300), объем 0,016 м3/ (ГОСТ 6665-91)</v>
      </c>
      <c r="D305" s="51">
        <f>Source!I210</f>
        <v>365.4</v>
      </c>
      <c r="E305" s="52">
        <f>Source!AB210</f>
        <v>20.7</v>
      </c>
      <c r="F305" s="52">
        <f>Source!AD210</f>
        <v>0</v>
      </c>
      <c r="G305" s="53">
        <f>Source!O210</f>
        <v>7564</v>
      </c>
      <c r="H305" s="53">
        <f>Source!S210</f>
        <v>0</v>
      </c>
      <c r="I305" s="53">
        <f>Source!Q210</f>
        <v>0</v>
      </c>
      <c r="J305" s="54">
        <f>Source!AH210</f>
        <v>0</v>
      </c>
      <c r="K305" s="54">
        <f>Source!U210</f>
        <v>0</v>
      </c>
      <c r="T305">
        <f>Source!O210+Source!X210+Source!Y210</f>
        <v>7564</v>
      </c>
      <c r="U305">
        <f>Source!P210</f>
        <v>7564</v>
      </c>
      <c r="V305">
        <f>Source!S210</f>
        <v>0</v>
      </c>
      <c r="W305">
        <f>Source!Q210</f>
        <v>0</v>
      </c>
      <c r="X305">
        <f>Source!R210</f>
        <v>0</v>
      </c>
      <c r="Y305">
        <f>Source!U210</f>
        <v>0</v>
      </c>
      <c r="Z305">
        <f>Source!V210</f>
        <v>0</v>
      </c>
      <c r="AA305">
        <f>Source!X210</f>
        <v>0</v>
      </c>
      <c r="AB305">
        <f>Source!Y210</f>
        <v>0</v>
      </c>
    </row>
    <row r="306" spans="1:28" ht="14.25" x14ac:dyDescent="0.2">
      <c r="A306" s="48"/>
      <c r="B306" s="48"/>
      <c r="C306" s="55" t="str">
        <f>Source!H210</f>
        <v>шт.</v>
      </c>
      <c r="D306" s="51"/>
      <c r="E306" s="52">
        <f>Source!AF210</f>
        <v>0</v>
      </c>
      <c r="F306" s="52">
        <f>Source!AE210</f>
        <v>0</v>
      </c>
      <c r="G306" s="53"/>
      <c r="H306" s="53"/>
      <c r="I306" s="53">
        <f>Source!R210</f>
        <v>0</v>
      </c>
      <c r="J306" s="54">
        <f>Source!AI210</f>
        <v>0</v>
      </c>
      <c r="K306" s="54">
        <f>Source!V210</f>
        <v>0</v>
      </c>
    </row>
    <row r="307" spans="1:28" ht="28.5" x14ac:dyDescent="0.2">
      <c r="A307" s="49" t="str">
        <f>Source!E211</f>
        <v>30,2</v>
      </c>
      <c r="B307" s="49" t="str">
        <f>Source!F211</f>
        <v>401-0006</v>
      </c>
      <c r="C307" s="50" t="s">
        <v>705</v>
      </c>
      <c r="D307" s="51">
        <f>Source!I211</f>
        <v>-21.558599999999998</v>
      </c>
      <c r="E307" s="52">
        <f>Source!AB211</f>
        <v>550.20000000000005</v>
      </c>
      <c r="F307" s="52">
        <f>Source!AD211</f>
        <v>0</v>
      </c>
      <c r="G307" s="53">
        <f>Source!O211</f>
        <v>-11862</v>
      </c>
      <c r="H307" s="53">
        <f>Source!S211</f>
        <v>0</v>
      </c>
      <c r="I307" s="53">
        <f>Source!Q211</f>
        <v>0</v>
      </c>
      <c r="J307" s="54">
        <f>Source!AH211</f>
        <v>0</v>
      </c>
      <c r="K307" s="54">
        <f>Source!U211</f>
        <v>0</v>
      </c>
      <c r="T307">
        <f>Source!O211+Source!X211+Source!Y211</f>
        <v>-11862</v>
      </c>
      <c r="U307">
        <f>Source!P211</f>
        <v>-11862</v>
      </c>
      <c r="V307">
        <f>Source!S211</f>
        <v>0</v>
      </c>
      <c r="W307">
        <f>Source!Q211</f>
        <v>0</v>
      </c>
      <c r="X307">
        <f>Source!R211</f>
        <v>0</v>
      </c>
      <c r="Y307">
        <f>Source!U211</f>
        <v>0</v>
      </c>
      <c r="Z307">
        <f>Source!V211</f>
        <v>0</v>
      </c>
      <c r="AA307">
        <f>Source!X211</f>
        <v>0</v>
      </c>
      <c r="AB307">
        <f>Source!Y211</f>
        <v>0</v>
      </c>
    </row>
    <row r="308" spans="1:28" ht="14.25" x14ac:dyDescent="0.2">
      <c r="A308" s="48"/>
      <c r="B308" s="48"/>
      <c r="C308" s="55" t="str">
        <f>Source!H211</f>
        <v>м3</v>
      </c>
      <c r="D308" s="51"/>
      <c r="E308" s="52">
        <f>Source!AF211</f>
        <v>0</v>
      </c>
      <c r="F308" s="52">
        <f>Source!AE211</f>
        <v>0</v>
      </c>
      <c r="G308" s="53"/>
      <c r="H308" s="53"/>
      <c r="I308" s="53">
        <f>Source!R211</f>
        <v>0</v>
      </c>
      <c r="J308" s="54">
        <f>Source!AI211</f>
        <v>0</v>
      </c>
      <c r="K308" s="54">
        <f>Source!V211</f>
        <v>0</v>
      </c>
    </row>
    <row r="309" spans="1:28" ht="14.25" x14ac:dyDescent="0.2">
      <c r="A309" s="49" t="str">
        <f>Source!E212</f>
        <v>30,3</v>
      </c>
      <c r="B309" s="49" t="str">
        <f>Source!F212</f>
        <v>401-0006</v>
      </c>
      <c r="C309" s="50" t="str">
        <f>Source!G212</f>
        <v>Бетон тяжелый, класс В15 (М200)</v>
      </c>
      <c r="D309" s="51">
        <f>Source!I212</f>
        <v>18.540396000000001</v>
      </c>
      <c r="E309" s="52">
        <f>Source!AB212</f>
        <v>550.20000000000005</v>
      </c>
      <c r="F309" s="52">
        <f>Source!AD212</f>
        <v>0</v>
      </c>
      <c r="G309" s="53">
        <f>Source!O212</f>
        <v>10201</v>
      </c>
      <c r="H309" s="53">
        <f>Source!S212</f>
        <v>0</v>
      </c>
      <c r="I309" s="53">
        <f>Source!Q212</f>
        <v>0</v>
      </c>
      <c r="J309" s="54">
        <f>Source!AH212</f>
        <v>0</v>
      </c>
      <c r="K309" s="54">
        <f>Source!U212</f>
        <v>0</v>
      </c>
      <c r="T309">
        <f>Source!O212+Source!X212+Source!Y212</f>
        <v>10201</v>
      </c>
      <c r="U309">
        <f>Source!P212</f>
        <v>10201</v>
      </c>
      <c r="V309">
        <f>Source!S212</f>
        <v>0</v>
      </c>
      <c r="W309">
        <f>Source!Q212</f>
        <v>0</v>
      </c>
      <c r="X309">
        <f>Source!R212</f>
        <v>0</v>
      </c>
      <c r="Y309">
        <f>Source!U212</f>
        <v>0</v>
      </c>
      <c r="Z309">
        <f>Source!V212</f>
        <v>0</v>
      </c>
      <c r="AA309">
        <f>Source!X212</f>
        <v>0</v>
      </c>
      <c r="AB309">
        <f>Source!Y212</f>
        <v>0</v>
      </c>
    </row>
    <row r="310" spans="1:28" ht="14.25" x14ac:dyDescent="0.2">
      <c r="A310" s="48"/>
      <c r="B310" s="48"/>
      <c r="C310" s="55" t="str">
        <f>Source!H212</f>
        <v>м3</v>
      </c>
      <c r="D310" s="51"/>
      <c r="E310" s="52">
        <f>Source!AF212</f>
        <v>0</v>
      </c>
      <c r="F310" s="52">
        <f>Source!AE212</f>
        <v>0</v>
      </c>
      <c r="G310" s="53"/>
      <c r="H310" s="53"/>
      <c r="I310" s="53">
        <f>Source!R212</f>
        <v>0</v>
      </c>
      <c r="J310" s="54">
        <f>Source!AI212</f>
        <v>0</v>
      </c>
      <c r="K310" s="54">
        <f>Source!V212</f>
        <v>0</v>
      </c>
    </row>
    <row r="311" spans="1:28" ht="42.75" x14ac:dyDescent="0.2">
      <c r="A311" s="49" t="str">
        <f>Source!E213</f>
        <v>30,4</v>
      </c>
      <c r="B311" s="49" t="str">
        <f>Source!F213</f>
        <v>402-0004</v>
      </c>
      <c r="C311" s="50" t="s">
        <v>706</v>
      </c>
      <c r="D311" s="51">
        <f>Source!I213</f>
        <v>-0.21923999999999999</v>
      </c>
      <c r="E311" s="52">
        <f>Source!AB213</f>
        <v>484.1</v>
      </c>
      <c r="F311" s="52">
        <f>Source!AD213</f>
        <v>0</v>
      </c>
      <c r="G311" s="53">
        <f>Source!O213</f>
        <v>-106</v>
      </c>
      <c r="H311" s="53">
        <f>Source!S213</f>
        <v>0</v>
      </c>
      <c r="I311" s="53">
        <f>Source!Q213</f>
        <v>0</v>
      </c>
      <c r="J311" s="54">
        <f>Source!AH213</f>
        <v>0</v>
      </c>
      <c r="K311" s="54">
        <f>Source!U213</f>
        <v>0</v>
      </c>
      <c r="T311">
        <f>Source!O213+Source!X213+Source!Y213</f>
        <v>-106</v>
      </c>
      <c r="U311">
        <f>Source!P213</f>
        <v>-106</v>
      </c>
      <c r="V311">
        <f>Source!S213</f>
        <v>0</v>
      </c>
      <c r="W311">
        <f>Source!Q213</f>
        <v>0</v>
      </c>
      <c r="X311">
        <f>Source!R213</f>
        <v>0</v>
      </c>
      <c r="Y311">
        <f>Source!U213</f>
        <v>0</v>
      </c>
      <c r="Z311">
        <f>Source!V213</f>
        <v>0</v>
      </c>
      <c r="AA311">
        <f>Source!X213</f>
        <v>0</v>
      </c>
      <c r="AB311">
        <f>Source!Y213</f>
        <v>0</v>
      </c>
    </row>
    <row r="312" spans="1:28" ht="14.25" x14ac:dyDescent="0.2">
      <c r="A312" s="48"/>
      <c r="B312" s="48"/>
      <c r="C312" s="55" t="str">
        <f>Source!H213</f>
        <v>м3</v>
      </c>
      <c r="D312" s="51"/>
      <c r="E312" s="52">
        <f>Source!AF213</f>
        <v>0</v>
      </c>
      <c r="F312" s="52">
        <f>Source!AE213</f>
        <v>0</v>
      </c>
      <c r="G312" s="53"/>
      <c r="H312" s="53"/>
      <c r="I312" s="53">
        <f>Source!R213</f>
        <v>0</v>
      </c>
      <c r="J312" s="54">
        <f>Source!AI213</f>
        <v>0</v>
      </c>
      <c r="K312" s="54">
        <f>Source!V213</f>
        <v>0</v>
      </c>
    </row>
    <row r="313" spans="1:28" ht="28.5" x14ac:dyDescent="0.2">
      <c r="A313" s="49" t="str">
        <f>Source!E214</f>
        <v>30,5</v>
      </c>
      <c r="B313" s="49" t="str">
        <f>Source!F214</f>
        <v>402-0004</v>
      </c>
      <c r="C313" s="50" t="str">
        <f>Source!G214</f>
        <v>Раствор готовый кладочный цементный марки 100</v>
      </c>
      <c r="D313" s="51">
        <f>Source!I214</f>
        <v>7.2348999999999997E-2</v>
      </c>
      <c r="E313" s="52">
        <f>Source!AB214</f>
        <v>484.1</v>
      </c>
      <c r="F313" s="52">
        <f>Source!AD214</f>
        <v>0</v>
      </c>
      <c r="G313" s="53">
        <f>Source!O214</f>
        <v>35</v>
      </c>
      <c r="H313" s="53">
        <f>Source!S214</f>
        <v>0</v>
      </c>
      <c r="I313" s="53">
        <f>Source!Q214</f>
        <v>0</v>
      </c>
      <c r="J313" s="54">
        <f>Source!AH214</f>
        <v>0</v>
      </c>
      <c r="K313" s="54">
        <f>Source!U214</f>
        <v>0</v>
      </c>
      <c r="T313">
        <f>Source!O214+Source!X214+Source!Y214</f>
        <v>35</v>
      </c>
      <c r="U313">
        <f>Source!P214</f>
        <v>35</v>
      </c>
      <c r="V313">
        <f>Source!S214</f>
        <v>0</v>
      </c>
      <c r="W313">
        <f>Source!Q214</f>
        <v>0</v>
      </c>
      <c r="X313">
        <f>Source!R214</f>
        <v>0</v>
      </c>
      <c r="Y313">
        <f>Source!U214</f>
        <v>0</v>
      </c>
      <c r="Z313">
        <f>Source!V214</f>
        <v>0</v>
      </c>
      <c r="AA313">
        <f>Source!X214</f>
        <v>0</v>
      </c>
      <c r="AB313">
        <f>Source!Y214</f>
        <v>0</v>
      </c>
    </row>
    <row r="314" spans="1:28" ht="14.25" x14ac:dyDescent="0.2">
      <c r="A314" s="48"/>
      <c r="B314" s="48"/>
      <c r="C314" s="55" t="str">
        <f>Source!H214</f>
        <v>м3</v>
      </c>
      <c r="D314" s="51"/>
      <c r="E314" s="52">
        <f>Source!AF214</f>
        <v>0</v>
      </c>
      <c r="F314" s="52">
        <f>Source!AE214</f>
        <v>0</v>
      </c>
      <c r="G314" s="53"/>
      <c r="H314" s="53"/>
      <c r="I314" s="53">
        <f>Source!R214</f>
        <v>0</v>
      </c>
      <c r="J314" s="54">
        <f>Source!AI214</f>
        <v>0</v>
      </c>
      <c r="K314" s="54">
        <f>Source!V214</f>
        <v>0</v>
      </c>
    </row>
    <row r="315" spans="1:28" ht="28.5" x14ac:dyDescent="0.2">
      <c r="A315" s="49" t="str">
        <f>Source!E215</f>
        <v>31</v>
      </c>
      <c r="B315" s="49" t="str">
        <f>Source!F215</f>
        <v>01-02-061-1</v>
      </c>
      <c r="C315" s="50" t="str">
        <f>Source!G215</f>
        <v>Засыпка вручную траншей, пазух котлованов и ям, группа грунтов: 1</v>
      </c>
      <c r="D315" s="51">
        <f>Source!I215</f>
        <v>3.2199999999999999E-2</v>
      </c>
      <c r="E315" s="52">
        <f>Source!AB215</f>
        <v>620.79999999999995</v>
      </c>
      <c r="F315" s="52">
        <f>Source!AD215</f>
        <v>0</v>
      </c>
      <c r="G315" s="53">
        <f>Source!O215</f>
        <v>20</v>
      </c>
      <c r="H315" s="53">
        <f>Source!S215</f>
        <v>20</v>
      </c>
      <c r="I315" s="53">
        <f>Source!Q215</f>
        <v>0</v>
      </c>
      <c r="J315" s="54">
        <f>Source!AH215</f>
        <v>101.77499999999999</v>
      </c>
      <c r="K315" s="54">
        <f>Source!U215</f>
        <v>3.2771549999999996</v>
      </c>
      <c r="T315">
        <f>Source!O215+Source!X215+Source!Y215</f>
        <v>44</v>
      </c>
      <c r="U315">
        <f>Source!P215</f>
        <v>0</v>
      </c>
      <c r="V315">
        <f>Source!S215</f>
        <v>20</v>
      </c>
      <c r="W315">
        <f>Source!Q215</f>
        <v>0</v>
      </c>
      <c r="X315">
        <f>Source!R215</f>
        <v>0</v>
      </c>
      <c r="Y315">
        <f>Source!U215</f>
        <v>3.2771549999999996</v>
      </c>
      <c r="Z315">
        <f>Source!V215</f>
        <v>0</v>
      </c>
      <c r="AA315">
        <f>Source!X215</f>
        <v>16</v>
      </c>
      <c r="AB315">
        <f>Source!Y215</f>
        <v>8</v>
      </c>
    </row>
    <row r="316" spans="1:28" ht="14.25" x14ac:dyDescent="0.2">
      <c r="A316" s="48"/>
      <c r="B316" s="48"/>
      <c r="C316" s="55" t="str">
        <f>Source!H215</f>
        <v>100 м3 грунта</v>
      </c>
      <c r="D316" s="51"/>
      <c r="E316" s="52">
        <f>Source!AF215</f>
        <v>620.79999999999995</v>
      </c>
      <c r="F316" s="52">
        <f>Source!AE215</f>
        <v>0</v>
      </c>
      <c r="G316" s="53"/>
      <c r="H316" s="53"/>
      <c r="I316" s="53">
        <f>Source!R215</f>
        <v>0</v>
      </c>
      <c r="J316" s="54">
        <f>Source!AI215</f>
        <v>0</v>
      </c>
      <c r="K316" s="54">
        <f>Source!V215</f>
        <v>0</v>
      </c>
    </row>
    <row r="317" spans="1:28" x14ac:dyDescent="0.2">
      <c r="A317" s="48"/>
      <c r="B317" s="48"/>
      <c r="C317" s="60" t="str">
        <f>"Объем: "&amp;Source!I215&amp;"=("&amp;Source!I209&amp;"*"&amp;"100*"&amp;"0,1*"&amp;"0,088)/"&amp;"100"</f>
        <v>Объем: 0,0322=(3,654*100*0,1*0,088)/100</v>
      </c>
      <c r="D317" s="48"/>
      <c r="E317" s="48"/>
      <c r="F317" s="48"/>
      <c r="G317" s="48"/>
      <c r="H317" s="48"/>
      <c r="I317" s="48"/>
      <c r="J317" s="48"/>
      <c r="K317" s="48"/>
    </row>
    <row r="318" spans="1:28" x14ac:dyDescent="0.2">
      <c r="A318" s="48"/>
      <c r="B318" s="48"/>
      <c r="C318" s="60" t="s">
        <v>698</v>
      </c>
      <c r="D318" s="74" t="s">
        <v>11</v>
      </c>
      <c r="E318" s="74"/>
      <c r="F318" s="74"/>
      <c r="G318" s="74"/>
      <c r="H318" s="74"/>
      <c r="I318" s="74"/>
      <c r="J318" s="74"/>
      <c r="K318" s="74"/>
    </row>
    <row r="319" spans="1:28" x14ac:dyDescent="0.2">
      <c r="A319" s="48"/>
      <c r="B319" s="48"/>
      <c r="C319" s="60" t="s">
        <v>699</v>
      </c>
      <c r="D319" s="74" t="s">
        <v>11</v>
      </c>
      <c r="E319" s="74"/>
      <c r="F319" s="74"/>
      <c r="G319" s="74"/>
      <c r="H319" s="74"/>
      <c r="I319" s="74"/>
      <c r="J319" s="74"/>
      <c r="K319" s="74"/>
    </row>
    <row r="320" spans="1:28" x14ac:dyDescent="0.2">
      <c r="A320" s="48"/>
      <c r="B320" s="48"/>
      <c r="C320" s="60" t="s">
        <v>700</v>
      </c>
      <c r="D320" s="74" t="s">
        <v>12</v>
      </c>
      <c r="E320" s="74"/>
      <c r="F320" s="74"/>
      <c r="G320" s="74"/>
      <c r="H320" s="74"/>
      <c r="I320" s="74"/>
      <c r="J320" s="74"/>
      <c r="K320" s="74"/>
    </row>
    <row r="321" spans="1:33" x14ac:dyDescent="0.2">
      <c r="A321" s="48"/>
      <c r="B321" s="48"/>
      <c r="C321" s="60" t="s">
        <v>701</v>
      </c>
      <c r="D321" s="74" t="s">
        <v>12</v>
      </c>
      <c r="E321" s="74"/>
      <c r="F321" s="74"/>
      <c r="G321" s="74"/>
      <c r="H321" s="74"/>
      <c r="I321" s="74"/>
      <c r="J321" s="74"/>
      <c r="K321" s="74"/>
    </row>
    <row r="322" spans="1:33" x14ac:dyDescent="0.2">
      <c r="A322" s="48"/>
      <c r="B322" s="48"/>
      <c r="C322" s="60" t="s">
        <v>702</v>
      </c>
      <c r="D322" s="74" t="s">
        <v>11</v>
      </c>
      <c r="E322" s="74"/>
      <c r="F322" s="74"/>
      <c r="G322" s="74"/>
      <c r="H322" s="74"/>
      <c r="I322" s="74"/>
      <c r="J322" s="74"/>
      <c r="K322" s="74"/>
    </row>
    <row r="323" spans="1:33" x14ac:dyDescent="0.2">
      <c r="A323" s="48"/>
      <c r="B323" s="48"/>
      <c r="C323" s="56" t="s">
        <v>695</v>
      </c>
      <c r="D323" s="57">
        <f>Source!BZ215</f>
        <v>80</v>
      </c>
      <c r="E323" s="58">
        <f>(Source!AF215+Source!AE215)*Source!FX215/100</f>
        <v>496.64</v>
      </c>
      <c r="F323" s="57"/>
      <c r="G323" s="59">
        <f>Source!X215</f>
        <v>16</v>
      </c>
      <c r="H323" s="57" t="str">
        <f>CONCATENATE(Source!AT215)</f>
        <v>80</v>
      </c>
      <c r="I323" s="57"/>
      <c r="J323" s="57"/>
      <c r="K323" s="57"/>
    </row>
    <row r="324" spans="1:33" x14ac:dyDescent="0.2">
      <c r="A324" s="48"/>
      <c r="B324" s="48"/>
      <c r="C324" s="56" t="s">
        <v>696</v>
      </c>
      <c r="D324" s="57">
        <f>Source!CA215</f>
        <v>45</v>
      </c>
      <c r="E324" s="58">
        <f>(Source!AF215+Source!AE215)*Source!FY215/100</f>
        <v>237.45599999999999</v>
      </c>
      <c r="F324" s="57" t="str">
        <f>CONCATENATE(Source!DM215,Source!FU215, "=", Source!FY215, "%")</f>
        <v>*0,85=38,25%</v>
      </c>
      <c r="G324" s="59">
        <f>Source!Y215</f>
        <v>8</v>
      </c>
      <c r="H324" s="57" t="str">
        <f>CONCATENATE(Source!AU215)</f>
        <v>38</v>
      </c>
      <c r="I324" s="57"/>
      <c r="J324" s="57"/>
      <c r="K324" s="57"/>
    </row>
    <row r="325" spans="1:33" x14ac:dyDescent="0.2">
      <c r="A325" s="48"/>
      <c r="B325" s="48"/>
      <c r="C325" s="56" t="s">
        <v>697</v>
      </c>
      <c r="D325" s="57"/>
      <c r="E325" s="58">
        <f>((Source!AF215+Source!AE215)*Source!FX215/100)+((Source!AF215+Source!AE215)*Source!FY215/100)+Source!AB215</f>
        <v>1354.896</v>
      </c>
      <c r="F325" s="57"/>
      <c r="G325" s="59">
        <f>Source!O215+Source!X215+Source!Y215</f>
        <v>44</v>
      </c>
      <c r="H325" s="57"/>
      <c r="I325" s="57"/>
      <c r="J325" s="57"/>
      <c r="K325" s="57"/>
    </row>
    <row r="326" spans="1:33" ht="42.75" x14ac:dyDescent="0.2">
      <c r="A326" s="49" t="str">
        <f>Source!E216</f>
        <v>32</v>
      </c>
      <c r="B326" s="49" t="str">
        <f>Source!F216</f>
        <v>пг01-01-01-039</v>
      </c>
      <c r="C326" s="50" t="str">
        <f>Source!G216</f>
        <v>Погрузочные работы при автомобильных перевозках: грунта растительного слоя (земля, перегной)</v>
      </c>
      <c r="D326" s="51">
        <f>Source!I216</f>
        <v>44.505000000000003</v>
      </c>
      <c r="E326" s="52">
        <f>Source!AB216</f>
        <v>4.3</v>
      </c>
      <c r="F326" s="52">
        <f>Source!AD216</f>
        <v>4.3</v>
      </c>
      <c r="G326" s="53">
        <f>Source!O216</f>
        <v>191</v>
      </c>
      <c r="H326" s="53">
        <f>Source!S216</f>
        <v>0</v>
      </c>
      <c r="I326" s="53">
        <f>Source!Q216</f>
        <v>191</v>
      </c>
      <c r="J326" s="54">
        <f>Source!AH216</f>
        <v>0</v>
      </c>
      <c r="K326" s="54">
        <f>Source!U216</f>
        <v>0</v>
      </c>
      <c r="T326">
        <f>Source!O216+Source!X216+Source!Y216</f>
        <v>191</v>
      </c>
      <c r="U326">
        <f>Source!P216</f>
        <v>0</v>
      </c>
      <c r="V326">
        <f>Source!S216</f>
        <v>0</v>
      </c>
      <c r="W326">
        <f>Source!Q216</f>
        <v>191</v>
      </c>
      <c r="X326">
        <f>Source!R216</f>
        <v>0</v>
      </c>
      <c r="Y326">
        <f>Source!U216</f>
        <v>0</v>
      </c>
      <c r="Z326">
        <f>Source!V216</f>
        <v>0</v>
      </c>
      <c r="AA326">
        <f>Source!X216</f>
        <v>0</v>
      </c>
      <c r="AB326">
        <f>Source!Y216</f>
        <v>0</v>
      </c>
    </row>
    <row r="327" spans="1:33" ht="14.25" x14ac:dyDescent="0.2">
      <c r="A327" s="48"/>
      <c r="B327" s="48"/>
      <c r="C327" s="55" t="str">
        <f>Source!H216</f>
        <v>1 Т ГРУЗА</v>
      </c>
      <c r="D327" s="51"/>
      <c r="E327" s="52">
        <f>Source!AF216</f>
        <v>0</v>
      </c>
      <c r="F327" s="52">
        <f>Source!AE216</f>
        <v>0</v>
      </c>
      <c r="G327" s="53"/>
      <c r="H327" s="53"/>
      <c r="I327" s="53">
        <f>Source!R216</f>
        <v>0</v>
      </c>
      <c r="J327" s="54">
        <f>Source!AI216</f>
        <v>0</v>
      </c>
      <c r="K327" s="54">
        <f>Source!V216</f>
        <v>0</v>
      </c>
    </row>
    <row r="328" spans="1:33" ht="25.5" x14ac:dyDescent="0.2">
      <c r="A328" s="48"/>
      <c r="B328" s="48"/>
      <c r="C328" s="60" t="str">
        <f>"Объем: "&amp;Source!I216&amp;"="&amp;Source!I206&amp;"*"&amp;"100*"&amp;"1,5-"&amp;""&amp;Source!I215&amp;"*"&amp;"100*"&amp;"1,5"</f>
        <v>Объем: 44,505=0,3289*100*1,5-0,0322*100*1,5</v>
      </c>
      <c r="D328" s="48"/>
      <c r="E328" s="48"/>
      <c r="F328" s="48"/>
      <c r="G328" s="48"/>
      <c r="H328" s="48"/>
      <c r="I328" s="48"/>
      <c r="J328" s="48"/>
      <c r="K328" s="48"/>
    </row>
    <row r="329" spans="1:33" ht="57" x14ac:dyDescent="0.2">
      <c r="A329" s="49" t="str">
        <f>Source!E217</f>
        <v>33</v>
      </c>
      <c r="B329" s="49" t="str">
        <f>Source!F217</f>
        <v>пг03-21-01-005</v>
      </c>
      <c r="C329" s="50" t="str">
        <f>Source!G217</f>
        <v>Перевозка грузов автомобилями-самосвалами грузоподъемностью 10 т, работающих вне карьера, на расстояние: до 5 км I класс груза</v>
      </c>
      <c r="D329" s="51">
        <f>Source!I217</f>
        <v>44.505000000000003</v>
      </c>
      <c r="E329" s="52">
        <f>Source!AB217</f>
        <v>6.7</v>
      </c>
      <c r="F329" s="52">
        <f>Source!AD217</f>
        <v>6.7</v>
      </c>
      <c r="G329" s="53">
        <f>Source!O217</f>
        <v>298</v>
      </c>
      <c r="H329" s="53">
        <f>Source!S217</f>
        <v>0</v>
      </c>
      <c r="I329" s="53">
        <f>Source!Q217</f>
        <v>298</v>
      </c>
      <c r="J329" s="54">
        <f>Source!AH217</f>
        <v>0</v>
      </c>
      <c r="K329" s="54">
        <f>Source!U217</f>
        <v>0</v>
      </c>
      <c r="T329">
        <f>Source!O217+Source!X217+Source!Y217</f>
        <v>298</v>
      </c>
      <c r="U329">
        <f>Source!P217</f>
        <v>0</v>
      </c>
      <c r="V329">
        <f>Source!S217</f>
        <v>0</v>
      </c>
      <c r="W329">
        <f>Source!Q217</f>
        <v>298</v>
      </c>
      <c r="X329">
        <f>Source!R217</f>
        <v>0</v>
      </c>
      <c r="Y329">
        <f>Source!U217</f>
        <v>0</v>
      </c>
      <c r="Z329">
        <f>Source!V217</f>
        <v>0</v>
      </c>
      <c r="AA329">
        <f>Source!X217</f>
        <v>0</v>
      </c>
      <c r="AB329">
        <f>Source!Y217</f>
        <v>0</v>
      </c>
    </row>
    <row r="330" spans="1:33" ht="14.25" x14ac:dyDescent="0.2">
      <c r="A330" s="48"/>
      <c r="B330" s="48"/>
      <c r="C330" s="55" t="str">
        <f>Source!H217</f>
        <v>1 Т ГРУЗА</v>
      </c>
      <c r="D330" s="51"/>
      <c r="E330" s="52">
        <f>Source!AF217</f>
        <v>0</v>
      </c>
      <c r="F330" s="52">
        <f>Source!AE217</f>
        <v>0</v>
      </c>
      <c r="G330" s="53"/>
      <c r="H330" s="53"/>
      <c r="I330" s="53">
        <f>Source!R217</f>
        <v>0</v>
      </c>
      <c r="J330" s="54">
        <f>Source!AI217</f>
        <v>0</v>
      </c>
      <c r="K330" s="54">
        <f>Source!V217</f>
        <v>0</v>
      </c>
    </row>
    <row r="331" spans="1:33" x14ac:dyDescent="0.2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</row>
    <row r="332" spans="1:33" ht="15" x14ac:dyDescent="0.25">
      <c r="A332" s="61"/>
      <c r="B332" s="61"/>
      <c r="C332" s="77" t="str">
        <f>CONCATENATE("Итого по подразделу: ",IF(Source!G219&lt;&gt;"Новый подраздел", Source!G219, ""))</f>
        <v>Итого по подразделу: Установка бортовых камней БК 100.20.8 -365,4м</v>
      </c>
      <c r="D332" s="77"/>
      <c r="E332" s="77"/>
      <c r="F332" s="77"/>
      <c r="G332" s="62">
        <f>IF(SUM(T269:T331)=0, "-", SUM(T269:T331))</f>
        <v>27870</v>
      </c>
      <c r="H332" s="62">
        <f>IF(SUM(V269:V331)=0, "-", SUM(V269:V331))</f>
        <v>2594</v>
      </c>
      <c r="I332" s="62">
        <f>IF(SUM(W269:W331)=0, "-", SUM(W269:W331))</f>
        <v>974</v>
      </c>
      <c r="J332" s="62"/>
      <c r="K332" s="63">
        <f>IF(SUM(Y269:Y331)=0, "-", SUM(Y269:Y331))</f>
        <v>382.03341319999993</v>
      </c>
      <c r="AG332" s="13" t="str">
        <f>CONCATENATE("Итого по подразделу: ",IF(Source!G219&lt;&gt;"Новый подраздел", Source!G219, ""))</f>
        <v>Итого по подразделу: Установка бортовых камней БК 100.20.8 -365,4м</v>
      </c>
    </row>
    <row r="333" spans="1:33" ht="15" x14ac:dyDescent="0.25">
      <c r="A333" s="61"/>
      <c r="B333" s="61"/>
      <c r="C333" s="61"/>
      <c r="D333" s="61"/>
      <c r="E333" s="61"/>
      <c r="F333" s="61"/>
      <c r="G333" s="62"/>
      <c r="H333" s="62"/>
      <c r="I333" s="62">
        <f>IF(SUM(X269:X331)=0, "-", SUM(X269:X331))</f>
        <v>51</v>
      </c>
      <c r="J333" s="62"/>
      <c r="K333" s="63">
        <f>IF(SUM(Z269:Z331)=0, "-", SUM(Z269:Z331))</f>
        <v>3.8578000000000001</v>
      </c>
    </row>
    <row r="334" spans="1:33" x14ac:dyDescent="0.2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</row>
    <row r="335" spans="1:33" x14ac:dyDescent="0.2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</row>
    <row r="336" spans="1:33" x14ac:dyDescent="0.2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</row>
    <row r="337" spans="1:28" ht="16.5" x14ac:dyDescent="0.25">
      <c r="A337" s="73" t="str">
        <f>CONCATENATE("Подраздел: ",IF(Source!G249&lt;&gt;"Новый подраздел", Source!G249, ""))</f>
        <v>Подраздел: Устройство тротуаров и пешеходных дорожек из брусчатки</v>
      </c>
      <c r="B337" s="73"/>
      <c r="C337" s="73"/>
      <c r="D337" s="73"/>
      <c r="E337" s="73"/>
      <c r="F337" s="73"/>
      <c r="G337" s="73"/>
      <c r="H337" s="73"/>
      <c r="I337" s="73"/>
      <c r="J337" s="73"/>
      <c r="K337" s="73"/>
    </row>
    <row r="338" spans="1:28" ht="42.75" x14ac:dyDescent="0.2">
      <c r="A338" s="49" t="str">
        <f>Source!E253</f>
        <v>34</v>
      </c>
      <c r="B338" s="49" t="str">
        <f>Source!F253</f>
        <v>27-04-001-4</v>
      </c>
      <c r="C338" s="50" t="str">
        <f>Source!G253</f>
        <v>Устройство подстилающих и выравнивающих слоев оснований: из щебня</v>
      </c>
      <c r="D338" s="51">
        <f>Source!I253</f>
        <v>0.37669999999999998</v>
      </c>
      <c r="E338" s="52">
        <f>Source!AB253</f>
        <v>4369.3999999999996</v>
      </c>
      <c r="F338" s="52">
        <f>Source!AD253</f>
        <v>4170.6000000000004</v>
      </c>
      <c r="G338" s="53">
        <f>Source!O253</f>
        <v>1646</v>
      </c>
      <c r="H338" s="53">
        <f>Source!S253</f>
        <v>69</v>
      </c>
      <c r="I338" s="53">
        <f>Source!Q253</f>
        <v>1571</v>
      </c>
      <c r="J338" s="54">
        <f>Source!AH253</f>
        <v>27.8185</v>
      </c>
      <c r="K338" s="54">
        <f>Source!U253</f>
        <v>10.47922895</v>
      </c>
      <c r="T338">
        <f>Source!O253+Source!X253+Source!Y253</f>
        <v>2087</v>
      </c>
      <c r="U338">
        <f>Source!P253</f>
        <v>6</v>
      </c>
      <c r="V338">
        <f>Source!S253</f>
        <v>69</v>
      </c>
      <c r="W338">
        <f>Source!Q253</f>
        <v>1571</v>
      </c>
      <c r="X338">
        <f>Source!R253</f>
        <v>129</v>
      </c>
      <c r="Y338">
        <f>Source!U253</f>
        <v>10.47922895</v>
      </c>
      <c r="Z338">
        <f>Source!V253</f>
        <v>9.7000250000000001</v>
      </c>
      <c r="AA338">
        <f>Source!X253</f>
        <v>281</v>
      </c>
      <c r="AB338">
        <f>Source!Y253</f>
        <v>160</v>
      </c>
    </row>
    <row r="339" spans="1:28" ht="28.5" x14ac:dyDescent="0.2">
      <c r="A339" s="48"/>
      <c r="B339" s="48"/>
      <c r="C339" s="55" t="str">
        <f>Source!H253</f>
        <v>100 м3 материала основания (в плотном теле)</v>
      </c>
      <c r="D339" s="51"/>
      <c r="E339" s="52">
        <f>Source!AF253</f>
        <v>183</v>
      </c>
      <c r="F339" s="52">
        <f>Source!AE253</f>
        <v>342</v>
      </c>
      <c r="G339" s="53"/>
      <c r="H339" s="53"/>
      <c r="I339" s="53">
        <f>Source!R253</f>
        <v>129</v>
      </c>
      <c r="J339" s="54">
        <f>Source!AI253</f>
        <v>25.75</v>
      </c>
      <c r="K339" s="54">
        <f>Source!V253</f>
        <v>9.7000250000000001</v>
      </c>
    </row>
    <row r="340" spans="1:28" x14ac:dyDescent="0.2">
      <c r="A340" s="48"/>
      <c r="B340" s="48"/>
      <c r="C340" s="60" t="str">
        <f>"Объем: "&amp;Source!I253&amp;"=(376,72*"&amp;"0,1)/"&amp;"100"</f>
        <v>Объем: 0,3767=(376,72*0,1)/100</v>
      </c>
      <c r="D340" s="48"/>
      <c r="E340" s="48"/>
      <c r="F340" s="48"/>
      <c r="G340" s="48"/>
      <c r="H340" s="48"/>
      <c r="I340" s="48"/>
      <c r="J340" s="48"/>
      <c r="K340" s="48"/>
    </row>
    <row r="341" spans="1:28" x14ac:dyDescent="0.2">
      <c r="A341" s="48"/>
      <c r="B341" s="48"/>
      <c r="C341" s="60" t="s">
        <v>698</v>
      </c>
      <c r="D341" s="74" t="s">
        <v>11</v>
      </c>
      <c r="E341" s="74"/>
      <c r="F341" s="74"/>
      <c r="G341" s="74"/>
      <c r="H341" s="74"/>
      <c r="I341" s="74"/>
      <c r="J341" s="74"/>
      <c r="K341" s="74"/>
    </row>
    <row r="342" spans="1:28" x14ac:dyDescent="0.2">
      <c r="A342" s="48"/>
      <c r="B342" s="48"/>
      <c r="C342" s="60" t="s">
        <v>699</v>
      </c>
      <c r="D342" s="74" t="s">
        <v>11</v>
      </c>
      <c r="E342" s="74"/>
      <c r="F342" s="74"/>
      <c r="G342" s="74"/>
      <c r="H342" s="74"/>
      <c r="I342" s="74"/>
      <c r="J342" s="74"/>
      <c r="K342" s="74"/>
    </row>
    <row r="343" spans="1:28" x14ac:dyDescent="0.2">
      <c r="A343" s="48"/>
      <c r="B343" s="48"/>
      <c r="C343" s="60" t="s">
        <v>700</v>
      </c>
      <c r="D343" s="74" t="s">
        <v>12</v>
      </c>
      <c r="E343" s="74"/>
      <c r="F343" s="74"/>
      <c r="G343" s="74"/>
      <c r="H343" s="74"/>
      <c r="I343" s="74"/>
      <c r="J343" s="74"/>
      <c r="K343" s="74"/>
    </row>
    <row r="344" spans="1:28" x14ac:dyDescent="0.2">
      <c r="A344" s="48"/>
      <c r="B344" s="48"/>
      <c r="C344" s="60" t="s">
        <v>701</v>
      </c>
      <c r="D344" s="74" t="s">
        <v>12</v>
      </c>
      <c r="E344" s="74"/>
      <c r="F344" s="74"/>
      <c r="G344" s="74"/>
      <c r="H344" s="74"/>
      <c r="I344" s="74"/>
      <c r="J344" s="74"/>
      <c r="K344" s="74"/>
    </row>
    <row r="345" spans="1:28" x14ac:dyDescent="0.2">
      <c r="A345" s="48"/>
      <c r="B345" s="48"/>
      <c r="C345" s="60" t="s">
        <v>702</v>
      </c>
      <c r="D345" s="74" t="s">
        <v>11</v>
      </c>
      <c r="E345" s="74"/>
      <c r="F345" s="74"/>
      <c r="G345" s="74"/>
      <c r="H345" s="74"/>
      <c r="I345" s="74"/>
      <c r="J345" s="74"/>
      <c r="K345" s="74"/>
    </row>
    <row r="346" spans="1:28" x14ac:dyDescent="0.2">
      <c r="A346" s="48"/>
      <c r="B346" s="48"/>
      <c r="C346" s="56" t="s">
        <v>695</v>
      </c>
      <c r="D346" s="57">
        <f>Source!BZ253</f>
        <v>142</v>
      </c>
      <c r="E346" s="58">
        <f>(Source!AF253+Source!AE253)*Source!FX253/100</f>
        <v>745.5</v>
      </c>
      <c r="F346" s="57"/>
      <c r="G346" s="59">
        <f>Source!X253</f>
        <v>281</v>
      </c>
      <c r="H346" s="57" t="str">
        <f>CONCATENATE(Source!AT253)</f>
        <v>142</v>
      </c>
      <c r="I346" s="57"/>
      <c r="J346" s="57"/>
      <c r="K346" s="57"/>
    </row>
    <row r="347" spans="1:28" x14ac:dyDescent="0.2">
      <c r="A347" s="48"/>
      <c r="B347" s="48"/>
      <c r="C347" s="56" t="s">
        <v>696</v>
      </c>
      <c r="D347" s="57">
        <f>Source!CA253</f>
        <v>95</v>
      </c>
      <c r="E347" s="58">
        <f>(Source!AF253+Source!AE253)*Source!FY253/100</f>
        <v>423.9375</v>
      </c>
      <c r="F347" s="57" t="str">
        <f>CONCATENATE(Source!DM253,Source!FU253, "=", Source!FY253, "%")</f>
        <v>*0,85=80,75%</v>
      </c>
      <c r="G347" s="59">
        <f>Source!Y253</f>
        <v>160</v>
      </c>
      <c r="H347" s="57" t="str">
        <f>CONCATENATE(Source!AU253)</f>
        <v>81</v>
      </c>
      <c r="I347" s="57"/>
      <c r="J347" s="57"/>
      <c r="K347" s="57"/>
    </row>
    <row r="348" spans="1:28" x14ac:dyDescent="0.2">
      <c r="A348" s="48"/>
      <c r="B348" s="48"/>
      <c r="C348" s="56" t="s">
        <v>697</v>
      </c>
      <c r="D348" s="57"/>
      <c r="E348" s="58">
        <f>((Source!AF253+Source!AE253)*Source!FX253/100)+((Source!AF253+Source!AE253)*Source!FY253/100)+Source!AB253</f>
        <v>5538.8374999999996</v>
      </c>
      <c r="F348" s="57"/>
      <c r="G348" s="59">
        <f>Source!O253+Source!X253+Source!Y253</f>
        <v>2087</v>
      </c>
      <c r="H348" s="57"/>
      <c r="I348" s="57"/>
      <c r="J348" s="57"/>
      <c r="K348" s="57"/>
    </row>
    <row r="349" spans="1:28" ht="42.75" x14ac:dyDescent="0.2">
      <c r="A349" s="49" t="str">
        <f>Source!E254</f>
        <v>34,1</v>
      </c>
      <c r="B349" s="49" t="str">
        <f>Source!F254</f>
        <v>408-0057</v>
      </c>
      <c r="C349" s="50" t="str">
        <f>Source!G254</f>
        <v>Щебень из природного камня для строительных работ марка 600, фракция 5 (3)-20 мм</v>
      </c>
      <c r="D349" s="51">
        <f>Source!I254</f>
        <v>47.464199999999998</v>
      </c>
      <c r="E349" s="52">
        <f>Source!AB254</f>
        <v>127.2</v>
      </c>
      <c r="F349" s="52">
        <f>Source!AD254</f>
        <v>0</v>
      </c>
      <c r="G349" s="53">
        <f>Source!O254</f>
        <v>6037</v>
      </c>
      <c r="H349" s="53">
        <f>Source!S254</f>
        <v>0</v>
      </c>
      <c r="I349" s="53">
        <f>Source!Q254</f>
        <v>0</v>
      </c>
      <c r="J349" s="54">
        <f>Source!AH254</f>
        <v>0</v>
      </c>
      <c r="K349" s="54">
        <f>Source!U254</f>
        <v>0</v>
      </c>
      <c r="T349">
        <f>Source!O254+Source!X254+Source!Y254</f>
        <v>6037</v>
      </c>
      <c r="U349">
        <f>Source!P254</f>
        <v>6037</v>
      </c>
      <c r="V349">
        <f>Source!S254</f>
        <v>0</v>
      </c>
      <c r="W349">
        <f>Source!Q254</f>
        <v>0</v>
      </c>
      <c r="X349">
        <f>Source!R254</f>
        <v>0</v>
      </c>
      <c r="Y349">
        <f>Source!U254</f>
        <v>0</v>
      </c>
      <c r="Z349">
        <f>Source!V254</f>
        <v>0</v>
      </c>
      <c r="AA349">
        <f>Source!X254</f>
        <v>0</v>
      </c>
      <c r="AB349">
        <f>Source!Y254</f>
        <v>0</v>
      </c>
    </row>
    <row r="350" spans="1:28" ht="14.25" x14ac:dyDescent="0.2">
      <c r="A350" s="48"/>
      <c r="B350" s="48"/>
      <c r="C350" s="55" t="str">
        <f>Source!H254</f>
        <v>м3</v>
      </c>
      <c r="D350" s="51"/>
      <c r="E350" s="52">
        <f>Source!AF254</f>
        <v>0</v>
      </c>
      <c r="F350" s="52">
        <f>Source!AE254</f>
        <v>0</v>
      </c>
      <c r="G350" s="53"/>
      <c r="H350" s="53"/>
      <c r="I350" s="53">
        <f>Source!R254</f>
        <v>0</v>
      </c>
      <c r="J350" s="54">
        <f>Source!AI254</f>
        <v>0</v>
      </c>
      <c r="K350" s="54">
        <f>Source!V254</f>
        <v>0</v>
      </c>
    </row>
    <row r="351" spans="1:28" ht="42.75" x14ac:dyDescent="0.2">
      <c r="A351" s="49" t="str">
        <f>Source!E255</f>
        <v>35</v>
      </c>
      <c r="B351" s="49" t="str">
        <f>Source!F255</f>
        <v>27-04-001-1</v>
      </c>
      <c r="C351" s="50" t="str">
        <f>Source!G255</f>
        <v>Устройство подстилающих и выравнивающих слоев оснований: из песка</v>
      </c>
      <c r="D351" s="51">
        <f>Source!I255</f>
        <v>0.37669999999999998</v>
      </c>
      <c r="E351" s="52">
        <f>Source!AB255</f>
        <v>2805</v>
      </c>
      <c r="F351" s="52">
        <f>Source!AD255</f>
        <v>2675.8</v>
      </c>
      <c r="G351" s="53">
        <f>Source!O255</f>
        <v>1056</v>
      </c>
      <c r="H351" s="53">
        <f>Source!S255</f>
        <v>44</v>
      </c>
      <c r="I351" s="53">
        <f>Source!Q255</f>
        <v>1008</v>
      </c>
      <c r="J351" s="54">
        <f>Source!AH255</f>
        <v>18.077999999999999</v>
      </c>
      <c r="K351" s="54">
        <f>Source!U255</f>
        <v>6.8099825999999997</v>
      </c>
      <c r="T351">
        <f>Source!O255+Source!X255+Source!Y255</f>
        <v>1337</v>
      </c>
      <c r="U351">
        <f>Source!P255</f>
        <v>4</v>
      </c>
      <c r="V351">
        <f>Source!S255</f>
        <v>44</v>
      </c>
      <c r="W351">
        <f>Source!Q255</f>
        <v>1008</v>
      </c>
      <c r="X351">
        <f>Source!R255</f>
        <v>82</v>
      </c>
      <c r="Y351">
        <f>Source!U255</f>
        <v>6.8099825999999997</v>
      </c>
      <c r="Z351">
        <f>Source!V255</f>
        <v>6.5357450000000004</v>
      </c>
      <c r="AA351">
        <f>Source!X255</f>
        <v>179</v>
      </c>
      <c r="AB351">
        <f>Source!Y255</f>
        <v>102</v>
      </c>
    </row>
    <row r="352" spans="1:28" ht="28.5" x14ac:dyDescent="0.2">
      <c r="A352" s="48"/>
      <c r="B352" s="48"/>
      <c r="C352" s="55" t="str">
        <f>Source!H255</f>
        <v>100 м3 материала основания (в плотном теле)</v>
      </c>
      <c r="D352" s="51"/>
      <c r="E352" s="52">
        <f>Source!AF255</f>
        <v>117.9</v>
      </c>
      <c r="F352" s="52">
        <f>Source!AE255</f>
        <v>217.9</v>
      </c>
      <c r="G352" s="53"/>
      <c r="H352" s="53"/>
      <c r="I352" s="53">
        <f>Source!R255</f>
        <v>82</v>
      </c>
      <c r="J352" s="54">
        <f>Source!AI255</f>
        <v>17.350000000000001</v>
      </c>
      <c r="K352" s="54">
        <f>Source!V255</f>
        <v>6.5357450000000004</v>
      </c>
    </row>
    <row r="353" spans="1:28" x14ac:dyDescent="0.2">
      <c r="A353" s="48"/>
      <c r="B353" s="48"/>
      <c r="C353" s="60" t="str">
        <f>"Объем: "&amp;Source!I255&amp;"=(376,72*"&amp;"0,1)/"&amp;"100"</f>
        <v>Объем: 0,3767=(376,72*0,1)/100</v>
      </c>
      <c r="D353" s="48"/>
      <c r="E353" s="48"/>
      <c r="F353" s="48"/>
      <c r="G353" s="48"/>
      <c r="H353" s="48"/>
      <c r="I353" s="48"/>
      <c r="J353" s="48"/>
      <c r="K353" s="48"/>
    </row>
    <row r="354" spans="1:28" x14ac:dyDescent="0.2">
      <c r="A354" s="48"/>
      <c r="B354" s="48"/>
      <c r="C354" s="60" t="s">
        <v>698</v>
      </c>
      <c r="D354" s="74" t="s">
        <v>11</v>
      </c>
      <c r="E354" s="74"/>
      <c r="F354" s="74"/>
      <c r="G354" s="74"/>
      <c r="H354" s="74"/>
      <c r="I354" s="74"/>
      <c r="J354" s="74"/>
      <c r="K354" s="74"/>
    </row>
    <row r="355" spans="1:28" x14ac:dyDescent="0.2">
      <c r="A355" s="48"/>
      <c r="B355" s="48"/>
      <c r="C355" s="60" t="s">
        <v>699</v>
      </c>
      <c r="D355" s="74" t="s">
        <v>11</v>
      </c>
      <c r="E355" s="74"/>
      <c r="F355" s="74"/>
      <c r="G355" s="74"/>
      <c r="H355" s="74"/>
      <c r="I355" s="74"/>
      <c r="J355" s="74"/>
      <c r="K355" s="74"/>
    </row>
    <row r="356" spans="1:28" x14ac:dyDescent="0.2">
      <c r="A356" s="48"/>
      <c r="B356" s="48"/>
      <c r="C356" s="60" t="s">
        <v>700</v>
      </c>
      <c r="D356" s="74" t="s">
        <v>12</v>
      </c>
      <c r="E356" s="74"/>
      <c r="F356" s="74"/>
      <c r="G356" s="74"/>
      <c r="H356" s="74"/>
      <c r="I356" s="74"/>
      <c r="J356" s="74"/>
      <c r="K356" s="74"/>
    </row>
    <row r="357" spans="1:28" x14ac:dyDescent="0.2">
      <c r="A357" s="48"/>
      <c r="B357" s="48"/>
      <c r="C357" s="60" t="s">
        <v>701</v>
      </c>
      <c r="D357" s="74" t="s">
        <v>12</v>
      </c>
      <c r="E357" s="74"/>
      <c r="F357" s="74"/>
      <c r="G357" s="74"/>
      <c r="H357" s="74"/>
      <c r="I357" s="74"/>
      <c r="J357" s="74"/>
      <c r="K357" s="74"/>
    </row>
    <row r="358" spans="1:28" x14ac:dyDescent="0.2">
      <c r="A358" s="48"/>
      <c r="B358" s="48"/>
      <c r="C358" s="60" t="s">
        <v>702</v>
      </c>
      <c r="D358" s="74" t="s">
        <v>11</v>
      </c>
      <c r="E358" s="74"/>
      <c r="F358" s="74"/>
      <c r="G358" s="74"/>
      <c r="H358" s="74"/>
      <c r="I358" s="74"/>
      <c r="J358" s="74"/>
      <c r="K358" s="74"/>
    </row>
    <row r="359" spans="1:28" x14ac:dyDescent="0.2">
      <c r="A359" s="48"/>
      <c r="B359" s="48"/>
      <c r="C359" s="56" t="s">
        <v>695</v>
      </c>
      <c r="D359" s="57">
        <f>Source!BZ255</f>
        <v>142</v>
      </c>
      <c r="E359" s="58">
        <f>(Source!AF255+Source!AE255)*Source!FX255/100</f>
        <v>476.83600000000001</v>
      </c>
      <c r="F359" s="57"/>
      <c r="G359" s="59">
        <f>Source!X255</f>
        <v>179</v>
      </c>
      <c r="H359" s="57" t="str">
        <f>CONCATENATE(Source!AT255)</f>
        <v>142</v>
      </c>
      <c r="I359" s="57"/>
      <c r="J359" s="57"/>
      <c r="K359" s="57"/>
    </row>
    <row r="360" spans="1:28" x14ac:dyDescent="0.2">
      <c r="A360" s="48"/>
      <c r="B360" s="48"/>
      <c r="C360" s="56" t="s">
        <v>696</v>
      </c>
      <c r="D360" s="57">
        <f>Source!CA255</f>
        <v>95</v>
      </c>
      <c r="E360" s="58">
        <f>(Source!AF255+Source!AE255)*Source!FY255/100</f>
        <v>271.1585</v>
      </c>
      <c r="F360" s="57" t="str">
        <f>CONCATENATE(Source!DM255,Source!FU255, "=", Source!FY255, "%")</f>
        <v>*0,85=80,75%</v>
      </c>
      <c r="G360" s="59">
        <f>Source!Y255</f>
        <v>102</v>
      </c>
      <c r="H360" s="57" t="str">
        <f>CONCATENATE(Source!AU255)</f>
        <v>81</v>
      </c>
      <c r="I360" s="57"/>
      <c r="J360" s="57"/>
      <c r="K360" s="57"/>
    </row>
    <row r="361" spans="1:28" x14ac:dyDescent="0.2">
      <c r="A361" s="48"/>
      <c r="B361" s="48"/>
      <c r="C361" s="56" t="s">
        <v>697</v>
      </c>
      <c r="D361" s="57"/>
      <c r="E361" s="58">
        <f>((Source!AF255+Source!AE255)*Source!FX255/100)+((Source!AF255+Source!AE255)*Source!FY255/100)+Source!AB255</f>
        <v>3552.9944999999998</v>
      </c>
      <c r="F361" s="57"/>
      <c r="G361" s="59">
        <f>Source!O255+Source!X255+Source!Y255</f>
        <v>1337</v>
      </c>
      <c r="H361" s="57"/>
      <c r="I361" s="57"/>
      <c r="J361" s="57"/>
      <c r="K361" s="57"/>
    </row>
    <row r="362" spans="1:28" ht="28.5" x14ac:dyDescent="0.2">
      <c r="A362" s="49" t="str">
        <f>Source!E256</f>
        <v>35,1</v>
      </c>
      <c r="B362" s="49" t="str">
        <f>Source!F256</f>
        <v>408-0122</v>
      </c>
      <c r="C362" s="50" t="str">
        <f>Source!G256</f>
        <v>Песок природный для строительных работ средний</v>
      </c>
      <c r="D362" s="51">
        <f>Source!I256</f>
        <v>41.436999999999998</v>
      </c>
      <c r="E362" s="52">
        <f>Source!AB256</f>
        <v>51.2</v>
      </c>
      <c r="F362" s="52">
        <f>Source!AD256</f>
        <v>0</v>
      </c>
      <c r="G362" s="53">
        <f>Source!O256</f>
        <v>2122</v>
      </c>
      <c r="H362" s="53">
        <f>Source!S256</f>
        <v>0</v>
      </c>
      <c r="I362" s="53">
        <f>Source!Q256</f>
        <v>0</v>
      </c>
      <c r="J362" s="54">
        <f>Source!AH256</f>
        <v>0</v>
      </c>
      <c r="K362" s="54">
        <f>Source!U256</f>
        <v>0</v>
      </c>
      <c r="T362">
        <f>Source!O256+Source!X256+Source!Y256</f>
        <v>2122</v>
      </c>
      <c r="U362">
        <f>Source!P256</f>
        <v>2122</v>
      </c>
      <c r="V362">
        <f>Source!S256</f>
        <v>0</v>
      </c>
      <c r="W362">
        <f>Source!Q256</f>
        <v>0</v>
      </c>
      <c r="X362">
        <f>Source!R256</f>
        <v>0</v>
      </c>
      <c r="Y362">
        <f>Source!U256</f>
        <v>0</v>
      </c>
      <c r="Z362">
        <f>Source!V256</f>
        <v>0</v>
      </c>
      <c r="AA362">
        <f>Source!X256</f>
        <v>0</v>
      </c>
      <c r="AB362">
        <f>Source!Y256</f>
        <v>0</v>
      </c>
    </row>
    <row r="363" spans="1:28" ht="14.25" x14ac:dyDescent="0.2">
      <c r="A363" s="48"/>
      <c r="B363" s="48"/>
      <c r="C363" s="55" t="str">
        <f>Source!H256</f>
        <v>м3</v>
      </c>
      <c r="D363" s="51"/>
      <c r="E363" s="52">
        <f>Source!AF256</f>
        <v>0</v>
      </c>
      <c r="F363" s="52">
        <f>Source!AE256</f>
        <v>0</v>
      </c>
      <c r="G363" s="53"/>
      <c r="H363" s="53"/>
      <c r="I363" s="53">
        <f>Source!R256</f>
        <v>0</v>
      </c>
      <c r="J363" s="54">
        <f>Source!AI256</f>
        <v>0</v>
      </c>
      <c r="K363" s="54">
        <f>Source!V256</f>
        <v>0</v>
      </c>
    </row>
    <row r="364" spans="1:28" ht="42.75" x14ac:dyDescent="0.2">
      <c r="A364" s="49" t="str">
        <f>Source!E257</f>
        <v>36</v>
      </c>
      <c r="B364" s="49" t="str">
        <f>Source!F257</f>
        <v>27-04-016-4</v>
      </c>
      <c r="C364" s="50" t="str">
        <f>Source!G257</f>
        <v>Устройство прослойки из нетканого синтетического материала (НСМ) в земляном полотне: сплошной</v>
      </c>
      <c r="D364" s="51">
        <f>Source!I257</f>
        <v>0.37669999999999998</v>
      </c>
      <c r="E364" s="52">
        <f>Source!AB257</f>
        <v>857.6</v>
      </c>
      <c r="F364" s="52">
        <f>Source!AD257</f>
        <v>628.5</v>
      </c>
      <c r="G364" s="53">
        <f>Source!O257</f>
        <v>323</v>
      </c>
      <c r="H364" s="53">
        <f>Source!S257</f>
        <v>86</v>
      </c>
      <c r="I364" s="53">
        <f>Source!Q257</f>
        <v>237</v>
      </c>
      <c r="J364" s="54">
        <f>Source!AH257</f>
        <v>35.362499999999997</v>
      </c>
      <c r="K364" s="54">
        <f>Source!U257</f>
        <v>13.321053749999999</v>
      </c>
      <c r="T364">
        <f>Source!O257+Source!X257+Source!Y257</f>
        <v>577</v>
      </c>
      <c r="U364">
        <f>Source!P257</f>
        <v>0</v>
      </c>
      <c r="V364">
        <f>Source!S257</f>
        <v>86</v>
      </c>
      <c r="W364">
        <f>Source!Q257</f>
        <v>237</v>
      </c>
      <c r="X364">
        <f>Source!R257</f>
        <v>28</v>
      </c>
      <c r="Y364">
        <f>Source!U257</f>
        <v>13.321053749999999</v>
      </c>
      <c r="Z364">
        <f>Source!V257</f>
        <v>2.0765587499999998</v>
      </c>
      <c r="AA364">
        <f>Source!X257</f>
        <v>162</v>
      </c>
      <c r="AB364">
        <f>Source!Y257</f>
        <v>92</v>
      </c>
    </row>
    <row r="365" spans="1:28" ht="14.25" x14ac:dyDescent="0.2">
      <c r="A365" s="48"/>
      <c r="B365" s="48"/>
      <c r="C365" s="55" t="str">
        <f>Source!H257</f>
        <v>1000 м2 поверхности</v>
      </c>
      <c r="D365" s="51"/>
      <c r="E365" s="52">
        <f>Source!AF257</f>
        <v>228.4</v>
      </c>
      <c r="F365" s="52">
        <f>Source!AE257</f>
        <v>74.900000000000006</v>
      </c>
      <c r="G365" s="53"/>
      <c r="H365" s="53"/>
      <c r="I365" s="53">
        <f>Source!R257</f>
        <v>28</v>
      </c>
      <c r="J365" s="54">
        <f>Source!AI257</f>
        <v>5.5125000000000002</v>
      </c>
      <c r="K365" s="54">
        <f>Source!V257</f>
        <v>2.0765587499999998</v>
      </c>
    </row>
    <row r="366" spans="1:28" x14ac:dyDescent="0.2">
      <c r="A366" s="48"/>
      <c r="B366" s="48"/>
      <c r="C366" s="60" t="str">
        <f>"Объем: "&amp;Source!I257&amp;"=376,72/"&amp;"1000"</f>
        <v>Объем: 0,3767=376,72/1000</v>
      </c>
      <c r="D366" s="48"/>
      <c r="E366" s="48"/>
      <c r="F366" s="48"/>
      <c r="G366" s="48"/>
      <c r="H366" s="48"/>
      <c r="I366" s="48"/>
      <c r="J366" s="48"/>
      <c r="K366" s="48"/>
    </row>
    <row r="367" spans="1:28" x14ac:dyDescent="0.2">
      <c r="A367" s="48"/>
      <c r="B367" s="48"/>
      <c r="C367" s="60" t="s">
        <v>698</v>
      </c>
      <c r="D367" s="74" t="s">
        <v>11</v>
      </c>
      <c r="E367" s="74"/>
      <c r="F367" s="74"/>
      <c r="G367" s="74"/>
      <c r="H367" s="74"/>
      <c r="I367" s="74"/>
      <c r="J367" s="74"/>
      <c r="K367" s="74"/>
    </row>
    <row r="368" spans="1:28" x14ac:dyDescent="0.2">
      <c r="A368" s="48"/>
      <c r="B368" s="48"/>
      <c r="C368" s="60" t="s">
        <v>699</v>
      </c>
      <c r="D368" s="74" t="s">
        <v>11</v>
      </c>
      <c r="E368" s="74"/>
      <c r="F368" s="74"/>
      <c r="G368" s="74"/>
      <c r="H368" s="74"/>
      <c r="I368" s="74"/>
      <c r="J368" s="74"/>
      <c r="K368" s="74"/>
    </row>
    <row r="369" spans="1:28" x14ac:dyDescent="0.2">
      <c r="A369" s="48"/>
      <c r="B369" s="48"/>
      <c r="C369" s="60" t="s">
        <v>700</v>
      </c>
      <c r="D369" s="74" t="s">
        <v>12</v>
      </c>
      <c r="E369" s="74"/>
      <c r="F369" s="74"/>
      <c r="G369" s="74"/>
      <c r="H369" s="74"/>
      <c r="I369" s="74"/>
      <c r="J369" s="74"/>
      <c r="K369" s="74"/>
    </row>
    <row r="370" spans="1:28" x14ac:dyDescent="0.2">
      <c r="A370" s="48"/>
      <c r="B370" s="48"/>
      <c r="C370" s="60" t="s">
        <v>701</v>
      </c>
      <c r="D370" s="74" t="s">
        <v>12</v>
      </c>
      <c r="E370" s="74"/>
      <c r="F370" s="74"/>
      <c r="G370" s="74"/>
      <c r="H370" s="74"/>
      <c r="I370" s="74"/>
      <c r="J370" s="74"/>
      <c r="K370" s="74"/>
    </row>
    <row r="371" spans="1:28" x14ac:dyDescent="0.2">
      <c r="A371" s="48"/>
      <c r="B371" s="48"/>
      <c r="C371" s="60" t="s">
        <v>702</v>
      </c>
      <c r="D371" s="74" t="s">
        <v>11</v>
      </c>
      <c r="E371" s="74"/>
      <c r="F371" s="74"/>
      <c r="G371" s="74"/>
      <c r="H371" s="74"/>
      <c r="I371" s="74"/>
      <c r="J371" s="74"/>
      <c r="K371" s="74"/>
    </row>
    <row r="372" spans="1:28" x14ac:dyDescent="0.2">
      <c r="A372" s="48"/>
      <c r="B372" s="48"/>
      <c r="C372" s="56" t="s">
        <v>695</v>
      </c>
      <c r="D372" s="57">
        <f>Source!BZ257</f>
        <v>142</v>
      </c>
      <c r="E372" s="58">
        <f>(Source!AF257+Source!AE257)*Source!FX257/100</f>
        <v>430.68599999999998</v>
      </c>
      <c r="F372" s="57"/>
      <c r="G372" s="59">
        <f>Source!X257</f>
        <v>162</v>
      </c>
      <c r="H372" s="57" t="str">
        <f>CONCATENATE(Source!AT257)</f>
        <v>142</v>
      </c>
      <c r="I372" s="57"/>
      <c r="J372" s="57"/>
      <c r="K372" s="57"/>
    </row>
    <row r="373" spans="1:28" x14ac:dyDescent="0.2">
      <c r="A373" s="48"/>
      <c r="B373" s="48"/>
      <c r="C373" s="56" t="s">
        <v>696</v>
      </c>
      <c r="D373" s="57">
        <f>Source!CA257</f>
        <v>95</v>
      </c>
      <c r="E373" s="58">
        <f>(Source!AF257+Source!AE257)*Source!FY257/100</f>
        <v>244.91475000000003</v>
      </c>
      <c r="F373" s="57" t="str">
        <f>CONCATENATE(Source!DM257,Source!FU257, "=", Source!FY257, "%")</f>
        <v>*0,85=80,75%</v>
      </c>
      <c r="G373" s="59">
        <f>Source!Y257</f>
        <v>92</v>
      </c>
      <c r="H373" s="57" t="str">
        <f>CONCATENATE(Source!AU257)</f>
        <v>81</v>
      </c>
      <c r="I373" s="57"/>
      <c r="J373" s="57"/>
      <c r="K373" s="57"/>
    </row>
    <row r="374" spans="1:28" x14ac:dyDescent="0.2">
      <c r="A374" s="48"/>
      <c r="B374" s="48"/>
      <c r="C374" s="56" t="s">
        <v>697</v>
      </c>
      <c r="D374" s="57"/>
      <c r="E374" s="58">
        <f>((Source!AF257+Source!AE257)*Source!FX257/100)+((Source!AF257+Source!AE257)*Source!FY257/100)+Source!AB257</f>
        <v>1533.20075</v>
      </c>
      <c r="F374" s="57"/>
      <c r="G374" s="59">
        <f>Source!O257+Source!X257+Source!Y257</f>
        <v>577</v>
      </c>
      <c r="H374" s="57"/>
      <c r="I374" s="57"/>
      <c r="J374" s="57"/>
      <c r="K374" s="57"/>
    </row>
    <row r="375" spans="1:28" ht="14.25" x14ac:dyDescent="0.2">
      <c r="A375" s="49" t="str">
        <f>Source!E258</f>
        <v>36,1</v>
      </c>
      <c r="B375" s="49" t="str">
        <f>Source!F258</f>
        <v>101-7239</v>
      </c>
      <c r="C375" s="50" t="str">
        <f>Source!G258</f>
        <v>Нетканый геотекстиль Геотекс 150</v>
      </c>
      <c r="D375" s="51">
        <f>Source!I258</f>
        <v>376.7</v>
      </c>
      <c r="E375" s="52">
        <f>Source!AB258</f>
        <v>2.7</v>
      </c>
      <c r="F375" s="52">
        <f>Source!AD258</f>
        <v>0</v>
      </c>
      <c r="G375" s="53">
        <f>Source!O258</f>
        <v>1017</v>
      </c>
      <c r="H375" s="53">
        <f>Source!S258</f>
        <v>0</v>
      </c>
      <c r="I375" s="53">
        <f>Source!Q258</f>
        <v>0</v>
      </c>
      <c r="J375" s="54">
        <f>Source!AH258</f>
        <v>0</v>
      </c>
      <c r="K375" s="54">
        <f>Source!U258</f>
        <v>0</v>
      </c>
      <c r="T375">
        <f>Source!O258+Source!X258+Source!Y258</f>
        <v>1017</v>
      </c>
      <c r="U375">
        <f>Source!P258</f>
        <v>1017</v>
      </c>
      <c r="V375">
        <f>Source!S258</f>
        <v>0</v>
      </c>
      <c r="W375">
        <f>Source!Q258</f>
        <v>0</v>
      </c>
      <c r="X375">
        <f>Source!R258</f>
        <v>0</v>
      </c>
      <c r="Y375">
        <f>Source!U258</f>
        <v>0</v>
      </c>
      <c r="Z375">
        <f>Source!V258</f>
        <v>0</v>
      </c>
      <c r="AA375">
        <f>Source!X258</f>
        <v>0</v>
      </c>
      <c r="AB375">
        <f>Source!Y258</f>
        <v>0</v>
      </c>
    </row>
    <row r="376" spans="1:28" ht="14.25" x14ac:dyDescent="0.2">
      <c r="A376" s="48"/>
      <c r="B376" s="48"/>
      <c r="C376" s="55" t="str">
        <f>Source!H258</f>
        <v>м2</v>
      </c>
      <c r="D376" s="51"/>
      <c r="E376" s="52">
        <f>Source!AF258</f>
        <v>0</v>
      </c>
      <c r="F376" s="52">
        <f>Source!AE258</f>
        <v>0</v>
      </c>
      <c r="G376" s="53"/>
      <c r="H376" s="53"/>
      <c r="I376" s="53">
        <f>Source!R258</f>
        <v>0</v>
      </c>
      <c r="J376" s="54">
        <f>Source!AI258</f>
        <v>0</v>
      </c>
      <c r="K376" s="54">
        <f>Source!V258</f>
        <v>0</v>
      </c>
    </row>
    <row r="377" spans="1:28" ht="28.5" x14ac:dyDescent="0.2">
      <c r="A377" s="49" t="str">
        <f>Source!E259</f>
        <v>37</v>
      </c>
      <c r="B377" s="49" t="str">
        <f>Source!F259</f>
        <v>27-07-003-2</v>
      </c>
      <c r="C377" s="50" t="str">
        <f>Source!G259</f>
        <v>Устройство бетонных плитных тротуаров с заполнением швов: песком</v>
      </c>
      <c r="D377" s="51">
        <f>Source!I259</f>
        <v>3.7671999999999999</v>
      </c>
      <c r="E377" s="52">
        <f>Source!AB259</f>
        <v>8664.7000000000007</v>
      </c>
      <c r="F377" s="52">
        <f>Source!AD259</f>
        <v>503.7</v>
      </c>
      <c r="G377" s="53">
        <f>Source!O259</f>
        <v>32642</v>
      </c>
      <c r="H377" s="53">
        <f>Source!S259</f>
        <v>1222</v>
      </c>
      <c r="I377" s="53">
        <f>Source!Q259</f>
        <v>1898</v>
      </c>
      <c r="J377" s="54">
        <f>Source!AH259</f>
        <v>48.76</v>
      </c>
      <c r="K377" s="54">
        <f>Source!U259</f>
        <v>183.688672</v>
      </c>
      <c r="T377">
        <f>Source!O259+Source!X259+Source!Y259</f>
        <v>35425</v>
      </c>
      <c r="U377">
        <f>Source!P259</f>
        <v>29522</v>
      </c>
      <c r="V377">
        <f>Source!S259</f>
        <v>1222</v>
      </c>
      <c r="W377">
        <f>Source!Q259</f>
        <v>1898</v>
      </c>
      <c r="X377">
        <f>Source!R259</f>
        <v>26</v>
      </c>
      <c r="Y377">
        <f>Source!U259</f>
        <v>183.688672</v>
      </c>
      <c r="Z377">
        <f>Source!V259</f>
        <v>1.9777800000000001</v>
      </c>
      <c r="AA377">
        <f>Source!X259</f>
        <v>1772</v>
      </c>
      <c r="AB377">
        <f>Source!Y259</f>
        <v>1011</v>
      </c>
    </row>
    <row r="378" spans="1:28" ht="14.25" x14ac:dyDescent="0.2">
      <c r="A378" s="48"/>
      <c r="B378" s="48"/>
      <c r="C378" s="55" t="str">
        <f>Source!H259</f>
        <v>100 м2 тротуара</v>
      </c>
      <c r="D378" s="51"/>
      <c r="E378" s="52">
        <f>Source!AF259</f>
        <v>324.3</v>
      </c>
      <c r="F378" s="52">
        <f>Source!AE259</f>
        <v>6.9</v>
      </c>
      <c r="G378" s="53"/>
      <c r="H378" s="53"/>
      <c r="I378" s="53">
        <f>Source!R259</f>
        <v>26</v>
      </c>
      <c r="J378" s="54">
        <f>Source!AI259</f>
        <v>0.52500000000000002</v>
      </c>
      <c r="K378" s="54">
        <f>Source!V259</f>
        <v>1.9777800000000001</v>
      </c>
    </row>
    <row r="379" spans="1:28" x14ac:dyDescent="0.2">
      <c r="A379" s="48"/>
      <c r="B379" s="48"/>
      <c r="C379" s="60" t="str">
        <f>"Объем: "&amp;Source!I259&amp;"=376,72/"&amp;"100"</f>
        <v>Объем: 3,7672=376,72/100</v>
      </c>
      <c r="D379" s="48"/>
      <c r="E379" s="48"/>
      <c r="F379" s="48"/>
      <c r="G379" s="48"/>
      <c r="H379" s="48"/>
      <c r="I379" s="48"/>
      <c r="J379" s="48"/>
      <c r="K379" s="48"/>
    </row>
    <row r="380" spans="1:28" x14ac:dyDescent="0.2">
      <c r="A380" s="48"/>
      <c r="B380" s="48"/>
      <c r="C380" s="60" t="s">
        <v>698</v>
      </c>
      <c r="D380" s="74" t="s">
        <v>11</v>
      </c>
      <c r="E380" s="74"/>
      <c r="F380" s="74"/>
      <c r="G380" s="74"/>
      <c r="H380" s="74"/>
      <c r="I380" s="74"/>
      <c r="J380" s="74"/>
      <c r="K380" s="74"/>
    </row>
    <row r="381" spans="1:28" x14ac:dyDescent="0.2">
      <c r="A381" s="48"/>
      <c r="B381" s="48"/>
      <c r="C381" s="60" t="s">
        <v>699</v>
      </c>
      <c r="D381" s="74" t="s">
        <v>11</v>
      </c>
      <c r="E381" s="74"/>
      <c r="F381" s="74"/>
      <c r="G381" s="74"/>
      <c r="H381" s="74"/>
      <c r="I381" s="74"/>
      <c r="J381" s="74"/>
      <c r="K381" s="74"/>
    </row>
    <row r="382" spans="1:28" x14ac:dyDescent="0.2">
      <c r="A382" s="48"/>
      <c r="B382" s="48"/>
      <c r="C382" s="60" t="s">
        <v>700</v>
      </c>
      <c r="D382" s="74" t="s">
        <v>12</v>
      </c>
      <c r="E382" s="74"/>
      <c r="F382" s="74"/>
      <c r="G382" s="74"/>
      <c r="H382" s="74"/>
      <c r="I382" s="74"/>
      <c r="J382" s="74"/>
      <c r="K382" s="74"/>
    </row>
    <row r="383" spans="1:28" x14ac:dyDescent="0.2">
      <c r="A383" s="48"/>
      <c r="B383" s="48"/>
      <c r="C383" s="60" t="s">
        <v>701</v>
      </c>
      <c r="D383" s="74" t="s">
        <v>12</v>
      </c>
      <c r="E383" s="74"/>
      <c r="F383" s="74"/>
      <c r="G383" s="74"/>
      <c r="H383" s="74"/>
      <c r="I383" s="74"/>
      <c r="J383" s="74"/>
      <c r="K383" s="74"/>
    </row>
    <row r="384" spans="1:28" x14ac:dyDescent="0.2">
      <c r="A384" s="48"/>
      <c r="B384" s="48"/>
      <c r="C384" s="60" t="s">
        <v>702</v>
      </c>
      <c r="D384" s="74" t="s">
        <v>11</v>
      </c>
      <c r="E384" s="74"/>
      <c r="F384" s="74"/>
      <c r="G384" s="74"/>
      <c r="H384" s="74"/>
      <c r="I384" s="74"/>
      <c r="J384" s="74"/>
      <c r="K384" s="74"/>
    </row>
    <row r="385" spans="1:33" x14ac:dyDescent="0.2">
      <c r="A385" s="48"/>
      <c r="B385" s="48"/>
      <c r="C385" s="56" t="s">
        <v>695</v>
      </c>
      <c r="D385" s="57">
        <f>Source!BZ259</f>
        <v>142</v>
      </c>
      <c r="E385" s="58">
        <f>(Source!AF259+Source!AE259)*Source!FX259/100</f>
        <v>470.30400000000003</v>
      </c>
      <c r="F385" s="57"/>
      <c r="G385" s="59">
        <f>Source!X259</f>
        <v>1772</v>
      </c>
      <c r="H385" s="57" t="str">
        <f>CONCATENATE(Source!AT259)</f>
        <v>142</v>
      </c>
      <c r="I385" s="57"/>
      <c r="J385" s="57"/>
      <c r="K385" s="57"/>
    </row>
    <row r="386" spans="1:33" x14ac:dyDescent="0.2">
      <c r="A386" s="48"/>
      <c r="B386" s="48"/>
      <c r="C386" s="56" t="s">
        <v>696</v>
      </c>
      <c r="D386" s="57">
        <f>Source!CA259</f>
        <v>95</v>
      </c>
      <c r="E386" s="58">
        <f>(Source!AF259+Source!AE259)*Source!FY259/100</f>
        <v>267.44399999999996</v>
      </c>
      <c r="F386" s="57" t="str">
        <f>CONCATENATE(Source!DM259,Source!FU259, "=", Source!FY259, "%")</f>
        <v>*0,85=80,75%</v>
      </c>
      <c r="G386" s="59">
        <f>Source!Y259</f>
        <v>1011</v>
      </c>
      <c r="H386" s="57" t="str">
        <f>CONCATENATE(Source!AU259)</f>
        <v>81</v>
      </c>
      <c r="I386" s="57"/>
      <c r="J386" s="57"/>
      <c r="K386" s="57"/>
    </row>
    <row r="387" spans="1:33" x14ac:dyDescent="0.2">
      <c r="A387" s="48"/>
      <c r="B387" s="48"/>
      <c r="C387" s="56" t="s">
        <v>697</v>
      </c>
      <c r="D387" s="57"/>
      <c r="E387" s="58">
        <f>((Source!AF259+Source!AE259)*Source!FX259/100)+((Source!AF259+Source!AE259)*Source!FY259/100)+Source!AB259</f>
        <v>9402.4480000000003</v>
      </c>
      <c r="F387" s="57"/>
      <c r="G387" s="59">
        <f>Source!O259+Source!X259+Source!Y259</f>
        <v>35425</v>
      </c>
      <c r="H387" s="57"/>
      <c r="I387" s="57"/>
      <c r="J387" s="57"/>
      <c r="K387" s="57"/>
    </row>
    <row r="388" spans="1:33" ht="57" x14ac:dyDescent="0.2">
      <c r="A388" s="49" t="str">
        <f>Source!E260</f>
        <v>37,1</v>
      </c>
      <c r="B388" s="49" t="str">
        <f>Source!F260</f>
        <v>403-0104</v>
      </c>
      <c r="C388" s="50" t="s">
        <v>707</v>
      </c>
      <c r="D388" s="51">
        <f>Source!I260</f>
        <v>-376.72</v>
      </c>
      <c r="E388" s="52">
        <f>Source!AB260</f>
        <v>65.400000000000006</v>
      </c>
      <c r="F388" s="52">
        <f>Source!AD260</f>
        <v>0</v>
      </c>
      <c r="G388" s="53">
        <f>Source!O260</f>
        <v>-24637</v>
      </c>
      <c r="H388" s="53">
        <f>Source!S260</f>
        <v>0</v>
      </c>
      <c r="I388" s="53">
        <f>Source!Q260</f>
        <v>0</v>
      </c>
      <c r="J388" s="54">
        <f>Source!AH260</f>
        <v>0</v>
      </c>
      <c r="K388" s="54">
        <f>Source!U260</f>
        <v>0</v>
      </c>
      <c r="T388">
        <f>Source!O260+Source!X260+Source!Y260</f>
        <v>-24637</v>
      </c>
      <c r="U388">
        <f>Source!P260</f>
        <v>-24637</v>
      </c>
      <c r="V388">
        <f>Source!S260</f>
        <v>0</v>
      </c>
      <c r="W388">
        <f>Source!Q260</f>
        <v>0</v>
      </c>
      <c r="X388">
        <f>Source!R260</f>
        <v>0</v>
      </c>
      <c r="Y388">
        <f>Source!U260</f>
        <v>0</v>
      </c>
      <c r="Z388">
        <f>Source!V260</f>
        <v>0</v>
      </c>
      <c r="AA388">
        <f>Source!X260</f>
        <v>0</v>
      </c>
      <c r="AB388">
        <f>Source!Y260</f>
        <v>0</v>
      </c>
    </row>
    <row r="389" spans="1:33" ht="14.25" x14ac:dyDescent="0.2">
      <c r="A389" s="48"/>
      <c r="B389" s="48"/>
      <c r="C389" s="55" t="str">
        <f>Source!H260</f>
        <v>м2</v>
      </c>
      <c r="D389" s="51"/>
      <c r="E389" s="52">
        <f>Source!AF260</f>
        <v>0</v>
      </c>
      <c r="F389" s="52">
        <f>Source!AE260</f>
        <v>0</v>
      </c>
      <c r="G389" s="53"/>
      <c r="H389" s="53"/>
      <c r="I389" s="53">
        <f>Source!R260</f>
        <v>0</v>
      </c>
      <c r="J389" s="54">
        <f>Source!AI260</f>
        <v>0</v>
      </c>
      <c r="K389" s="54">
        <f>Source!V260</f>
        <v>0</v>
      </c>
    </row>
    <row r="390" spans="1:33" ht="28.5" x14ac:dyDescent="0.2">
      <c r="A390" s="49" t="str">
        <f>Source!E261</f>
        <v>37,2</v>
      </c>
      <c r="B390" s="49" t="str">
        <f>Source!F261</f>
        <v>403-8719</v>
      </c>
      <c r="C390" s="50" t="str">
        <f>Source!G261</f>
        <v>Плитка тротуарная декоративная (брусчатка) , толщина 60 мм, серая</v>
      </c>
      <c r="D390" s="51">
        <f>Source!I261</f>
        <v>376.72</v>
      </c>
      <c r="E390" s="52">
        <f>Source!AB261</f>
        <v>82.3</v>
      </c>
      <c r="F390" s="52">
        <f>Source!AD261</f>
        <v>0</v>
      </c>
      <c r="G390" s="53">
        <f>Source!O261</f>
        <v>31004</v>
      </c>
      <c r="H390" s="53">
        <f>Source!S261</f>
        <v>0</v>
      </c>
      <c r="I390" s="53">
        <f>Source!Q261</f>
        <v>0</v>
      </c>
      <c r="J390" s="54">
        <f>Source!AH261</f>
        <v>0</v>
      </c>
      <c r="K390" s="54">
        <f>Source!U261</f>
        <v>0</v>
      </c>
      <c r="T390">
        <f>Source!O261+Source!X261+Source!Y261</f>
        <v>31004</v>
      </c>
      <c r="U390">
        <f>Source!P261</f>
        <v>31004</v>
      </c>
      <c r="V390">
        <f>Source!S261</f>
        <v>0</v>
      </c>
      <c r="W390">
        <f>Source!Q261</f>
        <v>0</v>
      </c>
      <c r="X390">
        <f>Source!R261</f>
        <v>0</v>
      </c>
      <c r="Y390">
        <f>Source!U261</f>
        <v>0</v>
      </c>
      <c r="Z390">
        <f>Source!V261</f>
        <v>0</v>
      </c>
      <c r="AA390">
        <f>Source!X261</f>
        <v>0</v>
      </c>
      <c r="AB390">
        <f>Source!Y261</f>
        <v>0</v>
      </c>
    </row>
    <row r="391" spans="1:33" ht="14.25" x14ac:dyDescent="0.2">
      <c r="A391" s="48"/>
      <c r="B391" s="48"/>
      <c r="C391" s="55" t="str">
        <f>Source!H261</f>
        <v>м2</v>
      </c>
      <c r="D391" s="51"/>
      <c r="E391" s="52">
        <f>Source!AF261</f>
        <v>0</v>
      </c>
      <c r="F391" s="52">
        <f>Source!AE261</f>
        <v>0</v>
      </c>
      <c r="G391" s="53"/>
      <c r="H391" s="53"/>
      <c r="I391" s="53">
        <f>Source!R261</f>
        <v>0</v>
      </c>
      <c r="J391" s="54">
        <f>Source!AI261</f>
        <v>0</v>
      </c>
      <c r="K391" s="54">
        <f>Source!V261</f>
        <v>0</v>
      </c>
    </row>
    <row r="392" spans="1:33" x14ac:dyDescent="0.2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</row>
    <row r="393" spans="1:33" ht="30" x14ac:dyDescent="0.25">
      <c r="A393" s="61"/>
      <c r="B393" s="61"/>
      <c r="C393" s="77" t="str">
        <f>CONCATENATE("Итого по подразделу: ",IF(Source!G263&lt;&gt;"Новый подраздел", Source!G263, ""))</f>
        <v>Итого по подразделу: Устройство тротуаров и пешеходных дорожек из брусчатки</v>
      </c>
      <c r="D393" s="77"/>
      <c r="E393" s="77"/>
      <c r="F393" s="77"/>
      <c r="G393" s="62">
        <f>IF(SUM(T337:T392)=0, "-", SUM(T337:T392))</f>
        <v>54969</v>
      </c>
      <c r="H393" s="62">
        <f>IF(SUM(V337:V392)=0, "-", SUM(V337:V392))</f>
        <v>1421</v>
      </c>
      <c r="I393" s="62">
        <f>IF(SUM(W337:W392)=0, "-", SUM(W337:W392))</f>
        <v>4714</v>
      </c>
      <c r="J393" s="62"/>
      <c r="K393" s="63">
        <f>IF(SUM(Y337:Y392)=0, "-", SUM(Y337:Y392))</f>
        <v>214.29893729999998</v>
      </c>
      <c r="AG393" s="13" t="str">
        <f>CONCATENATE("Итого по подразделу: ",IF(Source!G263&lt;&gt;"Новый подраздел", Source!G263, ""))</f>
        <v>Итого по подразделу: Устройство тротуаров и пешеходных дорожек из брусчатки</v>
      </c>
    </row>
    <row r="394" spans="1:33" ht="15" x14ac:dyDescent="0.25">
      <c r="A394" s="61"/>
      <c r="B394" s="61"/>
      <c r="C394" s="61"/>
      <c r="D394" s="61"/>
      <c r="E394" s="61"/>
      <c r="F394" s="61"/>
      <c r="G394" s="62"/>
      <c r="H394" s="62"/>
      <c r="I394" s="62">
        <f>IF(SUM(X337:X392)=0, "-", SUM(X337:X392))</f>
        <v>265</v>
      </c>
      <c r="J394" s="62"/>
      <c r="K394" s="63">
        <f>IF(SUM(Z337:Z392)=0, "-", SUM(Z337:Z392))</f>
        <v>20.290108750000002</v>
      </c>
    </row>
    <row r="395" spans="1:33" x14ac:dyDescent="0.2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</row>
    <row r="396" spans="1:33" x14ac:dyDescent="0.2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</row>
    <row r="397" spans="1:33" x14ac:dyDescent="0.2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</row>
    <row r="398" spans="1:33" ht="16.5" x14ac:dyDescent="0.25">
      <c r="A398" s="73" t="str">
        <f>CONCATENATE("Подраздел: ",IF(Source!G293&lt;&gt;"Новый подраздел", Source!G293, ""))</f>
        <v>Подраздел: Установка урн</v>
      </c>
      <c r="B398" s="73"/>
      <c r="C398" s="73"/>
      <c r="D398" s="73"/>
      <c r="E398" s="73"/>
      <c r="F398" s="73"/>
      <c r="G398" s="73"/>
      <c r="H398" s="73"/>
      <c r="I398" s="73"/>
      <c r="J398" s="73"/>
      <c r="K398" s="73"/>
    </row>
    <row r="399" spans="1:33" ht="42.75" x14ac:dyDescent="0.2">
      <c r="A399" s="49" t="str">
        <f>Source!E297</f>
        <v>38</v>
      </c>
      <c r="B399" s="49" t="str">
        <f>Source!F297</f>
        <v>01-02-058-2</v>
      </c>
      <c r="C399" s="50" t="str">
        <f>Source!G297</f>
        <v>Копание ям вручную без креплений для стоек и столбов: без откосов глубиной до 0,7 м, группа грунтов 2</v>
      </c>
      <c r="D399" s="51">
        <f>Source!I297</f>
        <v>3.8999999999999998E-3</v>
      </c>
      <c r="E399" s="52">
        <f>Source!AB297</f>
        <v>2044.7</v>
      </c>
      <c r="F399" s="52">
        <f>Source!AD297</f>
        <v>0</v>
      </c>
      <c r="G399" s="53">
        <f>Source!O297</f>
        <v>8</v>
      </c>
      <c r="H399" s="53">
        <f>Source!S297</f>
        <v>8</v>
      </c>
      <c r="I399" s="53">
        <f>Source!Q297</f>
        <v>0</v>
      </c>
      <c r="J399" s="54">
        <f>Source!AH297</f>
        <v>322</v>
      </c>
      <c r="K399" s="54">
        <f>Source!U297</f>
        <v>1.2558</v>
      </c>
      <c r="T399">
        <f>Source!O297+Source!X297+Source!Y297</f>
        <v>17</v>
      </c>
      <c r="U399">
        <f>Source!P297</f>
        <v>0</v>
      </c>
      <c r="V399">
        <f>Source!S297</f>
        <v>8</v>
      </c>
      <c r="W399">
        <f>Source!Q297</f>
        <v>0</v>
      </c>
      <c r="X399">
        <f>Source!R297</f>
        <v>0</v>
      </c>
      <c r="Y399">
        <f>Source!U297</f>
        <v>1.2558</v>
      </c>
      <c r="Z399">
        <f>Source!V297</f>
        <v>0</v>
      </c>
      <c r="AA399">
        <f>Source!X297</f>
        <v>6</v>
      </c>
      <c r="AB399">
        <f>Source!Y297</f>
        <v>3</v>
      </c>
    </row>
    <row r="400" spans="1:33" ht="14.25" x14ac:dyDescent="0.2">
      <c r="A400" s="48"/>
      <c r="B400" s="48"/>
      <c r="C400" s="55" t="str">
        <f>Source!H297</f>
        <v>100 м3 грунта</v>
      </c>
      <c r="D400" s="51"/>
      <c r="E400" s="52">
        <f>Source!AF297</f>
        <v>2044.7</v>
      </c>
      <c r="F400" s="52">
        <f>Source!AE297</f>
        <v>0</v>
      </c>
      <c r="G400" s="53"/>
      <c r="H400" s="53"/>
      <c r="I400" s="53">
        <f>Source!R297</f>
        <v>0</v>
      </c>
      <c r="J400" s="54">
        <f>Source!AI297</f>
        <v>0</v>
      </c>
      <c r="K400" s="54">
        <f>Source!V297</f>
        <v>0</v>
      </c>
    </row>
    <row r="401" spans="1:28" x14ac:dyDescent="0.2">
      <c r="A401" s="48"/>
      <c r="B401" s="48"/>
      <c r="C401" s="60" t="str">
        <f>"Объем: "&amp;Source!I297&amp;"=("&amp;Source!I298&amp;"*"&amp;"2*"&amp;"0,2*"&amp;"0,2*"&amp;"0,7)/"&amp;"100"</f>
        <v>Объем: 0,0039=(7*2*0,2*0,2*0,7)/100</v>
      </c>
      <c r="D401" s="48"/>
      <c r="E401" s="48"/>
      <c r="F401" s="48"/>
      <c r="G401" s="48"/>
      <c r="H401" s="48"/>
      <c r="I401" s="48"/>
      <c r="J401" s="48"/>
      <c r="K401" s="48"/>
    </row>
    <row r="402" spans="1:28" x14ac:dyDescent="0.2">
      <c r="A402" s="48"/>
      <c r="B402" s="48"/>
      <c r="C402" s="60" t="s">
        <v>698</v>
      </c>
      <c r="D402" s="74" t="s">
        <v>11</v>
      </c>
      <c r="E402" s="74"/>
      <c r="F402" s="74"/>
      <c r="G402" s="74"/>
      <c r="H402" s="74"/>
      <c r="I402" s="74"/>
      <c r="J402" s="74"/>
      <c r="K402" s="74"/>
    </row>
    <row r="403" spans="1:28" x14ac:dyDescent="0.2">
      <c r="A403" s="48"/>
      <c r="B403" s="48"/>
      <c r="C403" s="60" t="s">
        <v>699</v>
      </c>
      <c r="D403" s="74" t="s">
        <v>11</v>
      </c>
      <c r="E403" s="74"/>
      <c r="F403" s="74"/>
      <c r="G403" s="74"/>
      <c r="H403" s="74"/>
      <c r="I403" s="74"/>
      <c r="J403" s="74"/>
      <c r="K403" s="74"/>
    </row>
    <row r="404" spans="1:28" x14ac:dyDescent="0.2">
      <c r="A404" s="48"/>
      <c r="B404" s="48"/>
      <c r="C404" s="60" t="s">
        <v>700</v>
      </c>
      <c r="D404" s="74" t="s">
        <v>12</v>
      </c>
      <c r="E404" s="74"/>
      <c r="F404" s="74"/>
      <c r="G404" s="74"/>
      <c r="H404" s="74"/>
      <c r="I404" s="74"/>
      <c r="J404" s="74"/>
      <c r="K404" s="74"/>
    </row>
    <row r="405" spans="1:28" x14ac:dyDescent="0.2">
      <c r="A405" s="48"/>
      <c r="B405" s="48"/>
      <c r="C405" s="60" t="s">
        <v>701</v>
      </c>
      <c r="D405" s="74" t="s">
        <v>12</v>
      </c>
      <c r="E405" s="74"/>
      <c r="F405" s="74"/>
      <c r="G405" s="74"/>
      <c r="H405" s="74"/>
      <c r="I405" s="74"/>
      <c r="J405" s="74"/>
      <c r="K405" s="74"/>
    </row>
    <row r="406" spans="1:28" x14ac:dyDescent="0.2">
      <c r="A406" s="48"/>
      <c r="B406" s="48"/>
      <c r="C406" s="60" t="s">
        <v>702</v>
      </c>
      <c r="D406" s="74" t="s">
        <v>11</v>
      </c>
      <c r="E406" s="74"/>
      <c r="F406" s="74"/>
      <c r="G406" s="74"/>
      <c r="H406" s="74"/>
      <c r="I406" s="74"/>
      <c r="J406" s="74"/>
      <c r="K406" s="74"/>
    </row>
    <row r="407" spans="1:28" x14ac:dyDescent="0.2">
      <c r="A407" s="48"/>
      <c r="B407" s="48"/>
      <c r="C407" s="56" t="s">
        <v>695</v>
      </c>
      <c r="D407" s="57">
        <f>Source!BZ297</f>
        <v>80</v>
      </c>
      <c r="E407" s="58">
        <f>(Source!AF297+Source!AE297)*Source!FX297/100</f>
        <v>1635.76</v>
      </c>
      <c r="F407" s="57"/>
      <c r="G407" s="59">
        <f>Source!X297</f>
        <v>6</v>
      </c>
      <c r="H407" s="57" t="str">
        <f>CONCATENATE(Source!AT297)</f>
        <v>80</v>
      </c>
      <c r="I407" s="57"/>
      <c r="J407" s="57"/>
      <c r="K407" s="57"/>
    </row>
    <row r="408" spans="1:28" x14ac:dyDescent="0.2">
      <c r="A408" s="48"/>
      <c r="B408" s="48"/>
      <c r="C408" s="56" t="s">
        <v>696</v>
      </c>
      <c r="D408" s="57">
        <f>Source!CA297</f>
        <v>45</v>
      </c>
      <c r="E408" s="58">
        <f>(Source!AF297+Source!AE297)*Source!FY297/100</f>
        <v>782.09775000000013</v>
      </c>
      <c r="F408" s="57" t="str">
        <f>CONCATENATE(Source!DM297,Source!FU297, "=", Source!FY297, "%")</f>
        <v>*0,85=38,25%</v>
      </c>
      <c r="G408" s="59">
        <f>Source!Y297</f>
        <v>3</v>
      </c>
      <c r="H408" s="57" t="str">
        <f>CONCATENATE(Source!AU297)</f>
        <v>38</v>
      </c>
      <c r="I408" s="57"/>
      <c r="J408" s="57"/>
      <c r="K408" s="57"/>
    </row>
    <row r="409" spans="1:28" x14ac:dyDescent="0.2">
      <c r="A409" s="48"/>
      <c r="B409" s="48"/>
      <c r="C409" s="56" t="s">
        <v>697</v>
      </c>
      <c r="D409" s="57"/>
      <c r="E409" s="58">
        <f>((Source!AF297+Source!AE297)*Source!FX297/100)+((Source!AF297+Source!AE297)*Source!FY297/100)+Source!AB297</f>
        <v>4462.5577499999999</v>
      </c>
      <c r="F409" s="57"/>
      <c r="G409" s="59">
        <f>Source!O297+Source!X297+Source!Y297</f>
        <v>17</v>
      </c>
      <c r="H409" s="57"/>
      <c r="I409" s="57"/>
      <c r="J409" s="57"/>
      <c r="K409" s="57"/>
    </row>
    <row r="410" spans="1:28" ht="168" x14ac:dyDescent="0.2">
      <c r="A410" s="49" t="str">
        <f>Source!E298</f>
        <v>39</v>
      </c>
      <c r="B410" s="49" t="str">
        <f>Source!F298</f>
        <v>Прайс-лист</v>
      </c>
      <c r="C410" s="50" t="s">
        <v>708</v>
      </c>
      <c r="D410" s="51">
        <f>Source!I298</f>
        <v>7</v>
      </c>
      <c r="E410" s="52">
        <f>Source!AB298</f>
        <v>724.7</v>
      </c>
      <c r="F410" s="52">
        <f>Source!AD298</f>
        <v>0</v>
      </c>
      <c r="G410" s="53">
        <f>Source!O298</f>
        <v>5073</v>
      </c>
      <c r="H410" s="53">
        <f>Source!S298</f>
        <v>0</v>
      </c>
      <c r="I410" s="53">
        <f>Source!Q298</f>
        <v>0</v>
      </c>
      <c r="J410" s="54">
        <f>Source!AH298</f>
        <v>0</v>
      </c>
      <c r="K410" s="54">
        <f>Source!U298</f>
        <v>0</v>
      </c>
      <c r="T410">
        <f>Source!O298+Source!X298+Source!Y298</f>
        <v>5073</v>
      </c>
      <c r="U410">
        <f>Source!P298</f>
        <v>5073</v>
      </c>
      <c r="V410">
        <f>Source!S298</f>
        <v>0</v>
      </c>
      <c r="W410">
        <f>Source!Q298</f>
        <v>0</v>
      </c>
      <c r="X410">
        <f>Source!R298</f>
        <v>0</v>
      </c>
      <c r="Y410">
        <f>Source!U298</f>
        <v>0</v>
      </c>
      <c r="Z410">
        <f>Source!V298</f>
        <v>0</v>
      </c>
      <c r="AA410">
        <f>Source!X298</f>
        <v>0</v>
      </c>
      <c r="AB410">
        <f>Source!Y298</f>
        <v>0</v>
      </c>
    </row>
    <row r="411" spans="1:28" ht="14.25" x14ac:dyDescent="0.2">
      <c r="A411" s="48"/>
      <c r="B411" s="48"/>
      <c r="C411" s="55" t="str">
        <f>Source!H298</f>
        <v>ШТ</v>
      </c>
      <c r="D411" s="51"/>
      <c r="E411" s="52">
        <f>Source!AF298</f>
        <v>0</v>
      </c>
      <c r="F411" s="52">
        <f>Source!AE298</f>
        <v>0</v>
      </c>
      <c r="G411" s="53"/>
      <c r="H411" s="53"/>
      <c r="I411" s="53">
        <f>Source!R298</f>
        <v>0</v>
      </c>
      <c r="J411" s="54">
        <f>Source!AI298</f>
        <v>0</v>
      </c>
      <c r="K411" s="54">
        <f>Source!V298</f>
        <v>0</v>
      </c>
    </row>
    <row r="412" spans="1:28" ht="14.25" x14ac:dyDescent="0.2">
      <c r="A412" s="49" t="str">
        <f>Source!E299</f>
        <v>40</v>
      </c>
      <c r="B412" s="49" t="str">
        <f>Source!F299</f>
        <v>06-01-001-1</v>
      </c>
      <c r="C412" s="50" t="str">
        <f>Source!G299</f>
        <v>Устройство бетонной подготовки</v>
      </c>
      <c r="D412" s="51">
        <f>Source!I299</f>
        <v>2E-3</v>
      </c>
      <c r="E412" s="52">
        <f>Source!AB299</f>
        <v>54712.7</v>
      </c>
      <c r="F412" s="52">
        <f>Source!AD299</f>
        <v>1982.7</v>
      </c>
      <c r="G412" s="53">
        <f>Source!O299</f>
        <v>110</v>
      </c>
      <c r="H412" s="53">
        <f>Source!S299</f>
        <v>3</v>
      </c>
      <c r="I412" s="53">
        <f>Source!Q299</f>
        <v>4</v>
      </c>
      <c r="J412" s="54">
        <f>Source!AH299</f>
        <v>206.99999999999997</v>
      </c>
      <c r="K412" s="54">
        <f>Source!U299</f>
        <v>0.41399999999999998</v>
      </c>
      <c r="T412">
        <f>Source!O299+Source!X299+Source!Y299</f>
        <v>116</v>
      </c>
      <c r="U412">
        <f>Source!P299</f>
        <v>103</v>
      </c>
      <c r="V412">
        <f>Source!S299</f>
        <v>3</v>
      </c>
      <c r="W412">
        <f>Source!Q299</f>
        <v>4</v>
      </c>
      <c r="X412">
        <f>Source!R299</f>
        <v>1</v>
      </c>
      <c r="Y412">
        <f>Source!U299</f>
        <v>0.41399999999999998</v>
      </c>
      <c r="Z412">
        <f>Source!V299</f>
        <v>4.4999999999999998E-2</v>
      </c>
      <c r="AA412">
        <f>Source!X299</f>
        <v>4</v>
      </c>
      <c r="AB412">
        <f>Source!Y299</f>
        <v>2</v>
      </c>
    </row>
    <row r="413" spans="1:28" ht="28.5" x14ac:dyDescent="0.2">
      <c r="A413" s="48"/>
      <c r="B413" s="48"/>
      <c r="C413" s="55" t="str">
        <f>Source!H299</f>
        <v>100 м3 бетона, бутобетона и железобетона в деле</v>
      </c>
      <c r="D413" s="51"/>
      <c r="E413" s="52">
        <f>Source!AF299</f>
        <v>1314.5</v>
      </c>
      <c r="F413" s="52">
        <f>Source!AE299</f>
        <v>298.39999999999998</v>
      </c>
      <c r="G413" s="53"/>
      <c r="H413" s="53"/>
      <c r="I413" s="53">
        <f>Source!R299</f>
        <v>1</v>
      </c>
      <c r="J413" s="54">
        <f>Source!AI299</f>
        <v>22.5</v>
      </c>
      <c r="K413" s="54">
        <f>Source!V299</f>
        <v>4.4999999999999998E-2</v>
      </c>
    </row>
    <row r="414" spans="1:28" x14ac:dyDescent="0.2">
      <c r="A414" s="48"/>
      <c r="B414" s="48"/>
      <c r="C414" s="60" t="str">
        <f>"Объем: "&amp;Source!I299&amp;"=("&amp;Source!I297&amp;"*"&amp;"100/"&amp;"2)/"&amp;"100"</f>
        <v>Объем: 0,002=(0,0039*100/2)/100</v>
      </c>
      <c r="D414" s="48"/>
      <c r="E414" s="48"/>
      <c r="F414" s="48"/>
      <c r="G414" s="48"/>
      <c r="H414" s="48"/>
      <c r="I414" s="48"/>
      <c r="J414" s="48"/>
      <c r="K414" s="48"/>
    </row>
    <row r="415" spans="1:28" x14ac:dyDescent="0.2">
      <c r="A415" s="48"/>
      <c r="B415" s="48"/>
      <c r="C415" s="60" t="s">
        <v>698</v>
      </c>
      <c r="D415" s="74" t="s">
        <v>11</v>
      </c>
      <c r="E415" s="74"/>
      <c r="F415" s="74"/>
      <c r="G415" s="74"/>
      <c r="H415" s="74"/>
      <c r="I415" s="74"/>
      <c r="J415" s="74"/>
      <c r="K415" s="74"/>
    </row>
    <row r="416" spans="1:28" x14ac:dyDescent="0.2">
      <c r="A416" s="48"/>
      <c r="B416" s="48"/>
      <c r="C416" s="60" t="s">
        <v>699</v>
      </c>
      <c r="D416" s="74" t="s">
        <v>11</v>
      </c>
      <c r="E416" s="74"/>
      <c r="F416" s="74"/>
      <c r="G416" s="74"/>
      <c r="H416" s="74"/>
      <c r="I416" s="74"/>
      <c r="J416" s="74"/>
      <c r="K416" s="74"/>
    </row>
    <row r="417" spans="1:28" x14ac:dyDescent="0.2">
      <c r="A417" s="48"/>
      <c r="B417" s="48"/>
      <c r="C417" s="60" t="s">
        <v>700</v>
      </c>
      <c r="D417" s="74" t="s">
        <v>12</v>
      </c>
      <c r="E417" s="74"/>
      <c r="F417" s="74"/>
      <c r="G417" s="74"/>
      <c r="H417" s="74"/>
      <c r="I417" s="74"/>
      <c r="J417" s="74"/>
      <c r="K417" s="74"/>
    </row>
    <row r="418" spans="1:28" x14ac:dyDescent="0.2">
      <c r="A418" s="48"/>
      <c r="B418" s="48"/>
      <c r="C418" s="60" t="s">
        <v>701</v>
      </c>
      <c r="D418" s="74" t="s">
        <v>12</v>
      </c>
      <c r="E418" s="74"/>
      <c r="F418" s="74"/>
      <c r="G418" s="74"/>
      <c r="H418" s="74"/>
      <c r="I418" s="74"/>
      <c r="J418" s="74"/>
      <c r="K418" s="74"/>
    </row>
    <row r="419" spans="1:28" x14ac:dyDescent="0.2">
      <c r="A419" s="48"/>
      <c r="B419" s="48"/>
      <c r="C419" s="60" t="s">
        <v>702</v>
      </c>
      <c r="D419" s="74" t="s">
        <v>11</v>
      </c>
      <c r="E419" s="74"/>
      <c r="F419" s="74"/>
      <c r="G419" s="74"/>
      <c r="H419" s="74"/>
      <c r="I419" s="74"/>
      <c r="J419" s="74"/>
      <c r="K419" s="74"/>
    </row>
    <row r="420" spans="1:28" x14ac:dyDescent="0.2">
      <c r="A420" s="48"/>
      <c r="B420" s="48"/>
      <c r="C420" s="56" t="s">
        <v>695</v>
      </c>
      <c r="D420" s="57">
        <f>Source!BZ299</f>
        <v>105</v>
      </c>
      <c r="E420" s="58">
        <f>(Source!AF299+Source!AE299)*Source!FX299/100</f>
        <v>1693.5450000000001</v>
      </c>
      <c r="F420" s="57"/>
      <c r="G420" s="59">
        <f>Source!X299</f>
        <v>4</v>
      </c>
      <c r="H420" s="57" t="str">
        <f>CONCATENATE(Source!AT299)</f>
        <v>105</v>
      </c>
      <c r="I420" s="57"/>
      <c r="J420" s="57"/>
      <c r="K420" s="57"/>
    </row>
    <row r="421" spans="1:28" x14ac:dyDescent="0.2">
      <c r="A421" s="48"/>
      <c r="B421" s="48"/>
      <c r="C421" s="56" t="s">
        <v>696</v>
      </c>
      <c r="D421" s="57">
        <f>Source!CA299</f>
        <v>65</v>
      </c>
      <c r="E421" s="58">
        <f>(Source!AF299+Source!AE299)*Source!FY299/100</f>
        <v>891.12725</v>
      </c>
      <c r="F421" s="57" t="str">
        <f>CONCATENATE(Source!DM299,Source!FU299, "=", Source!FY299, "%")</f>
        <v>*0,85=55,25%</v>
      </c>
      <c r="G421" s="59">
        <f>Source!Y299</f>
        <v>2</v>
      </c>
      <c r="H421" s="57" t="str">
        <f>CONCATENATE(Source!AU299)</f>
        <v>55</v>
      </c>
      <c r="I421" s="57"/>
      <c r="J421" s="57"/>
      <c r="K421" s="57"/>
    </row>
    <row r="422" spans="1:28" x14ac:dyDescent="0.2">
      <c r="A422" s="48"/>
      <c r="B422" s="48"/>
      <c r="C422" s="56" t="s">
        <v>697</v>
      </c>
      <c r="D422" s="57"/>
      <c r="E422" s="58">
        <f>((Source!AF299+Source!AE299)*Source!FX299/100)+((Source!AF299+Source!AE299)*Source!FY299/100)+Source!AB299</f>
        <v>57297.37225</v>
      </c>
      <c r="F422" s="57"/>
      <c r="G422" s="59">
        <f>Source!O299+Source!X299+Source!Y299</f>
        <v>116</v>
      </c>
      <c r="H422" s="57"/>
      <c r="I422" s="57"/>
      <c r="J422" s="57"/>
      <c r="K422" s="57"/>
    </row>
    <row r="423" spans="1:28" ht="28.5" x14ac:dyDescent="0.2">
      <c r="A423" s="49" t="str">
        <f>Source!E300</f>
        <v>41</v>
      </c>
      <c r="B423" s="49" t="str">
        <f>Source!F300</f>
        <v>01-02-061-1</v>
      </c>
      <c r="C423" s="50" t="str">
        <f>Source!G300</f>
        <v>Засыпка вручную траншей, пазух котлованов и ям, группа грунтов: 1</v>
      </c>
      <c r="D423" s="51">
        <f>Source!I300</f>
        <v>2E-3</v>
      </c>
      <c r="E423" s="52">
        <f>Source!AB300</f>
        <v>620.79999999999995</v>
      </c>
      <c r="F423" s="52">
        <f>Source!AD300</f>
        <v>0</v>
      </c>
      <c r="G423" s="53">
        <f>Source!O300</f>
        <v>1</v>
      </c>
      <c r="H423" s="53">
        <f>Source!S300</f>
        <v>1</v>
      </c>
      <c r="I423" s="53">
        <f>Source!Q300</f>
        <v>0</v>
      </c>
      <c r="J423" s="54">
        <f>Source!AH300</f>
        <v>101.77499999999999</v>
      </c>
      <c r="K423" s="54">
        <f>Source!U300</f>
        <v>0.20354999999999998</v>
      </c>
      <c r="T423">
        <f>Source!O300+Source!X300+Source!Y300</f>
        <v>2</v>
      </c>
      <c r="U423">
        <f>Source!P300</f>
        <v>0</v>
      </c>
      <c r="V423">
        <f>Source!S300</f>
        <v>1</v>
      </c>
      <c r="W423">
        <f>Source!Q300</f>
        <v>0</v>
      </c>
      <c r="X423">
        <f>Source!R300</f>
        <v>0</v>
      </c>
      <c r="Y423">
        <f>Source!U300</f>
        <v>0.20354999999999998</v>
      </c>
      <c r="Z423">
        <f>Source!V300</f>
        <v>0</v>
      </c>
      <c r="AA423">
        <f>Source!X300</f>
        <v>1</v>
      </c>
      <c r="AB423">
        <f>Source!Y300</f>
        <v>0</v>
      </c>
    </row>
    <row r="424" spans="1:28" ht="14.25" x14ac:dyDescent="0.2">
      <c r="A424" s="48"/>
      <c r="B424" s="48"/>
      <c r="C424" s="55" t="str">
        <f>Source!H300</f>
        <v>100 м3 грунта</v>
      </c>
      <c r="D424" s="51"/>
      <c r="E424" s="52">
        <f>Source!AF300</f>
        <v>620.79999999999995</v>
      </c>
      <c r="F424" s="52">
        <f>Source!AE300</f>
        <v>0</v>
      </c>
      <c r="G424" s="53"/>
      <c r="H424" s="53"/>
      <c r="I424" s="53">
        <f>Source!R300</f>
        <v>0</v>
      </c>
      <c r="J424" s="54">
        <f>Source!AI300</f>
        <v>0</v>
      </c>
      <c r="K424" s="54">
        <f>Source!V300</f>
        <v>0</v>
      </c>
    </row>
    <row r="425" spans="1:28" x14ac:dyDescent="0.2">
      <c r="A425" s="48"/>
      <c r="B425" s="48"/>
      <c r="C425" s="60" t="str">
        <f>"Объем: "&amp;Source!I300&amp;"=("&amp;Source!I299&amp;"*"&amp;"100)/"&amp;"100"</f>
        <v>Объем: 0,002=(0,002*100)/100</v>
      </c>
      <c r="D425" s="48"/>
      <c r="E425" s="48"/>
      <c r="F425" s="48"/>
      <c r="G425" s="48"/>
      <c r="H425" s="48"/>
      <c r="I425" s="48"/>
      <c r="J425" s="48"/>
      <c r="K425" s="48"/>
    </row>
    <row r="426" spans="1:28" x14ac:dyDescent="0.2">
      <c r="A426" s="48"/>
      <c r="B426" s="48"/>
      <c r="C426" s="60" t="s">
        <v>698</v>
      </c>
      <c r="D426" s="74" t="s">
        <v>11</v>
      </c>
      <c r="E426" s="74"/>
      <c r="F426" s="74"/>
      <c r="G426" s="74"/>
      <c r="H426" s="74"/>
      <c r="I426" s="74"/>
      <c r="J426" s="74"/>
      <c r="K426" s="74"/>
    </row>
    <row r="427" spans="1:28" x14ac:dyDescent="0.2">
      <c r="A427" s="48"/>
      <c r="B427" s="48"/>
      <c r="C427" s="60" t="s">
        <v>699</v>
      </c>
      <c r="D427" s="74" t="s">
        <v>11</v>
      </c>
      <c r="E427" s="74"/>
      <c r="F427" s="74"/>
      <c r="G427" s="74"/>
      <c r="H427" s="74"/>
      <c r="I427" s="74"/>
      <c r="J427" s="74"/>
      <c r="K427" s="74"/>
    </row>
    <row r="428" spans="1:28" x14ac:dyDescent="0.2">
      <c r="A428" s="48"/>
      <c r="B428" s="48"/>
      <c r="C428" s="60" t="s">
        <v>700</v>
      </c>
      <c r="D428" s="74" t="s">
        <v>12</v>
      </c>
      <c r="E428" s="74"/>
      <c r="F428" s="74"/>
      <c r="G428" s="74"/>
      <c r="H428" s="74"/>
      <c r="I428" s="74"/>
      <c r="J428" s="74"/>
      <c r="K428" s="74"/>
    </row>
    <row r="429" spans="1:28" x14ac:dyDescent="0.2">
      <c r="A429" s="48"/>
      <c r="B429" s="48"/>
      <c r="C429" s="60" t="s">
        <v>701</v>
      </c>
      <c r="D429" s="74" t="s">
        <v>12</v>
      </c>
      <c r="E429" s="74"/>
      <c r="F429" s="74"/>
      <c r="G429" s="74"/>
      <c r="H429" s="74"/>
      <c r="I429" s="74"/>
      <c r="J429" s="74"/>
      <c r="K429" s="74"/>
    </row>
    <row r="430" spans="1:28" x14ac:dyDescent="0.2">
      <c r="A430" s="48"/>
      <c r="B430" s="48"/>
      <c r="C430" s="60" t="s">
        <v>702</v>
      </c>
      <c r="D430" s="74" t="s">
        <v>11</v>
      </c>
      <c r="E430" s="74"/>
      <c r="F430" s="74"/>
      <c r="G430" s="74"/>
      <c r="H430" s="74"/>
      <c r="I430" s="74"/>
      <c r="J430" s="74"/>
      <c r="K430" s="74"/>
    </row>
    <row r="431" spans="1:28" x14ac:dyDescent="0.2">
      <c r="A431" s="48"/>
      <c r="B431" s="48"/>
      <c r="C431" s="56" t="s">
        <v>695</v>
      </c>
      <c r="D431" s="57">
        <f>Source!BZ300</f>
        <v>80</v>
      </c>
      <c r="E431" s="58">
        <f>(Source!AF300+Source!AE300)*Source!FX300/100</f>
        <v>496.64</v>
      </c>
      <c r="F431" s="57"/>
      <c r="G431" s="59">
        <f>Source!X300</f>
        <v>1</v>
      </c>
      <c r="H431" s="57" t="str">
        <f>CONCATENATE(Source!AT300)</f>
        <v>80</v>
      </c>
      <c r="I431" s="57"/>
      <c r="J431" s="57"/>
      <c r="K431" s="57"/>
    </row>
    <row r="432" spans="1:28" x14ac:dyDescent="0.2">
      <c r="A432" s="48"/>
      <c r="B432" s="48"/>
      <c r="C432" s="56" t="s">
        <v>697</v>
      </c>
      <c r="D432" s="57"/>
      <c r="E432" s="58">
        <f>((Source!AF300+Source!AE300)*Source!FX300/100)+((Source!AF300+Source!AE300)*Source!FY300/100)+Source!AB300</f>
        <v>1354.896</v>
      </c>
      <c r="F432" s="57"/>
      <c r="G432" s="59">
        <f>Source!O300+Source!X300+Source!Y300</f>
        <v>2</v>
      </c>
      <c r="H432" s="57"/>
      <c r="I432" s="57"/>
      <c r="J432" s="57"/>
      <c r="K432" s="57"/>
    </row>
    <row r="433" spans="1:28" x14ac:dyDescent="0.2">
      <c r="A433" s="48"/>
      <c r="B433" s="48"/>
      <c r="C433" s="48"/>
      <c r="D433" s="48"/>
      <c r="E433" s="48"/>
      <c r="F433" s="48"/>
      <c r="G433" s="48"/>
      <c r="H433" s="48"/>
      <c r="I433" s="48"/>
      <c r="J433" s="48"/>
      <c r="K433" s="48"/>
    </row>
    <row r="434" spans="1:28" ht="15" x14ac:dyDescent="0.25">
      <c r="A434" s="61"/>
      <c r="B434" s="61"/>
      <c r="C434" s="77" t="str">
        <f>CONCATENATE("Итого по подразделу: ",IF(Source!G302&lt;&gt;"Новый подраздел", Source!G302, ""))</f>
        <v>Итого по подразделу: Установка урн</v>
      </c>
      <c r="D434" s="77"/>
      <c r="E434" s="77"/>
      <c r="F434" s="77"/>
      <c r="G434" s="62">
        <f>IF(SUM(T398:T433)=0, "-", SUM(T398:T433))</f>
        <v>5208</v>
      </c>
      <c r="H434" s="62">
        <f>IF(SUM(V398:V433)=0, "-", SUM(V398:V433))</f>
        <v>12</v>
      </c>
      <c r="I434" s="62">
        <f>IF(SUM(W398:W433)=0, "-", SUM(W398:W433))</f>
        <v>4</v>
      </c>
      <c r="J434" s="62"/>
      <c r="K434" s="63">
        <f>IF(SUM(Y398:Y433)=0, "-", SUM(Y398:Y433))</f>
        <v>1.8733499999999998</v>
      </c>
    </row>
    <row r="435" spans="1:28" ht="15" x14ac:dyDescent="0.25">
      <c r="A435" s="61"/>
      <c r="B435" s="61"/>
      <c r="C435" s="61"/>
      <c r="D435" s="61"/>
      <c r="E435" s="61"/>
      <c r="F435" s="61"/>
      <c r="G435" s="62"/>
      <c r="H435" s="62"/>
      <c r="I435" s="62">
        <f>IF(SUM(X398:X433)=0, "-", SUM(X398:X433))</f>
        <v>1</v>
      </c>
      <c r="J435" s="62"/>
      <c r="K435" s="63">
        <f>IF(SUM(Z398:Z433)=0, "-", SUM(Z398:Z433))</f>
        <v>4.4999999999999998E-2</v>
      </c>
    </row>
    <row r="436" spans="1:28" x14ac:dyDescent="0.2">
      <c r="A436" s="48"/>
      <c r="B436" s="48"/>
      <c r="C436" s="48"/>
      <c r="D436" s="48"/>
      <c r="E436" s="48"/>
      <c r="F436" s="48"/>
      <c r="G436" s="48"/>
      <c r="H436" s="48"/>
      <c r="I436" s="48"/>
      <c r="J436" s="48"/>
      <c r="K436" s="48"/>
    </row>
    <row r="437" spans="1:28" x14ac:dyDescent="0.2">
      <c r="A437" s="48"/>
      <c r="B437" s="48"/>
      <c r="C437" s="48"/>
      <c r="D437" s="48"/>
      <c r="E437" s="48"/>
      <c r="F437" s="48"/>
      <c r="G437" s="48"/>
      <c r="H437" s="48"/>
      <c r="I437" s="48"/>
      <c r="J437" s="48"/>
      <c r="K437" s="48"/>
    </row>
    <row r="438" spans="1:28" x14ac:dyDescent="0.2">
      <c r="A438" s="48"/>
      <c r="B438" s="48"/>
      <c r="C438" s="48"/>
      <c r="D438" s="48"/>
      <c r="E438" s="48"/>
      <c r="F438" s="48"/>
      <c r="G438" s="48"/>
      <c r="H438" s="48"/>
      <c r="I438" s="48"/>
      <c r="J438" s="48"/>
      <c r="K438" s="48"/>
    </row>
    <row r="439" spans="1:28" ht="16.5" x14ac:dyDescent="0.25">
      <c r="A439" s="73" t="str">
        <f>CONCATENATE("Подраздел: ",IF(Source!G332&lt;&gt;"Новый подраздел", Source!G332, ""))</f>
        <v>Подраздел: Установка скамеек</v>
      </c>
      <c r="B439" s="73"/>
      <c r="C439" s="73"/>
      <c r="D439" s="73"/>
      <c r="E439" s="73"/>
      <c r="F439" s="73"/>
      <c r="G439" s="73"/>
      <c r="H439" s="73"/>
      <c r="I439" s="73"/>
      <c r="J439" s="73"/>
      <c r="K439" s="73"/>
    </row>
    <row r="440" spans="1:28" ht="42.75" x14ac:dyDescent="0.2">
      <c r="A440" s="49" t="str">
        <f>Source!E336</f>
        <v>42</v>
      </c>
      <c r="B440" s="49" t="str">
        <f>Source!F336</f>
        <v>01-02-058-2</v>
      </c>
      <c r="C440" s="50" t="str">
        <f>Source!G336</f>
        <v>Копание ям вручную без креплений для стоек и столбов: без откосов глубиной до 0,7 м, группа грунтов 2</v>
      </c>
      <c r="D440" s="51">
        <f>Source!I336</f>
        <v>8.0999999999999996E-3</v>
      </c>
      <c r="E440" s="52">
        <f>Source!AB336</f>
        <v>2044.7</v>
      </c>
      <c r="F440" s="52">
        <f>Source!AD336</f>
        <v>0</v>
      </c>
      <c r="G440" s="53">
        <f>Source!O336</f>
        <v>17</v>
      </c>
      <c r="H440" s="53">
        <f>Source!S336</f>
        <v>17</v>
      </c>
      <c r="I440" s="53">
        <f>Source!Q336</f>
        <v>0</v>
      </c>
      <c r="J440" s="54">
        <f>Source!AH336</f>
        <v>322</v>
      </c>
      <c r="K440" s="54">
        <f>Source!U336</f>
        <v>2.6082000000000001</v>
      </c>
      <c r="T440">
        <f>Source!O336+Source!X336+Source!Y336</f>
        <v>37</v>
      </c>
      <c r="U440">
        <f>Source!P336</f>
        <v>0</v>
      </c>
      <c r="V440">
        <f>Source!S336</f>
        <v>17</v>
      </c>
      <c r="W440">
        <f>Source!Q336</f>
        <v>0</v>
      </c>
      <c r="X440">
        <f>Source!R336</f>
        <v>0</v>
      </c>
      <c r="Y440">
        <f>Source!U336</f>
        <v>2.6082000000000001</v>
      </c>
      <c r="Z440">
        <f>Source!V336</f>
        <v>0</v>
      </c>
      <c r="AA440">
        <f>Source!X336</f>
        <v>14</v>
      </c>
      <c r="AB440">
        <f>Source!Y336</f>
        <v>6</v>
      </c>
    </row>
    <row r="441" spans="1:28" ht="14.25" x14ac:dyDescent="0.2">
      <c r="A441" s="48"/>
      <c r="B441" s="48"/>
      <c r="C441" s="55" t="str">
        <f>Source!H336</f>
        <v>100 м3 грунта</v>
      </c>
      <c r="D441" s="51"/>
      <c r="E441" s="52">
        <f>Source!AF336</f>
        <v>2044.7</v>
      </c>
      <c r="F441" s="52">
        <f>Source!AE336</f>
        <v>0</v>
      </c>
      <c r="G441" s="53"/>
      <c r="H441" s="53"/>
      <c r="I441" s="53">
        <f>Source!R336</f>
        <v>0</v>
      </c>
      <c r="J441" s="54">
        <f>Source!AI336</f>
        <v>0</v>
      </c>
      <c r="K441" s="54">
        <f>Source!V336</f>
        <v>0</v>
      </c>
    </row>
    <row r="442" spans="1:28" x14ac:dyDescent="0.2">
      <c r="A442" s="48"/>
      <c r="B442" s="48"/>
      <c r="C442" s="60" t="str">
        <f>"Объем: "&amp;Source!I336&amp;"="&amp;Source!I337&amp;"*"&amp;"4*"&amp;"0,2*"&amp;"0,2*"&amp;"0,72/"&amp;"100"</f>
        <v>Объем: 0,0081=7*4*0,2*0,2*0,72/100</v>
      </c>
      <c r="D442" s="48"/>
      <c r="E442" s="48"/>
      <c r="F442" s="48"/>
      <c r="G442" s="48"/>
      <c r="H442" s="48"/>
      <c r="I442" s="48"/>
      <c r="J442" s="48"/>
      <c r="K442" s="48"/>
    </row>
    <row r="443" spans="1:28" x14ac:dyDescent="0.2">
      <c r="A443" s="48"/>
      <c r="B443" s="48"/>
      <c r="C443" s="60" t="s">
        <v>698</v>
      </c>
      <c r="D443" s="74" t="s">
        <v>11</v>
      </c>
      <c r="E443" s="74"/>
      <c r="F443" s="74"/>
      <c r="G443" s="74"/>
      <c r="H443" s="74"/>
      <c r="I443" s="74"/>
      <c r="J443" s="74"/>
      <c r="K443" s="74"/>
    </row>
    <row r="444" spans="1:28" x14ac:dyDescent="0.2">
      <c r="A444" s="48"/>
      <c r="B444" s="48"/>
      <c r="C444" s="60" t="s">
        <v>699</v>
      </c>
      <c r="D444" s="74" t="s">
        <v>11</v>
      </c>
      <c r="E444" s="74"/>
      <c r="F444" s="74"/>
      <c r="G444" s="74"/>
      <c r="H444" s="74"/>
      <c r="I444" s="74"/>
      <c r="J444" s="74"/>
      <c r="K444" s="74"/>
    </row>
    <row r="445" spans="1:28" x14ac:dyDescent="0.2">
      <c r="A445" s="48"/>
      <c r="B445" s="48"/>
      <c r="C445" s="60" t="s">
        <v>700</v>
      </c>
      <c r="D445" s="74" t="s">
        <v>12</v>
      </c>
      <c r="E445" s="74"/>
      <c r="F445" s="74"/>
      <c r="G445" s="74"/>
      <c r="H445" s="74"/>
      <c r="I445" s="74"/>
      <c r="J445" s="74"/>
      <c r="K445" s="74"/>
    </row>
    <row r="446" spans="1:28" x14ac:dyDescent="0.2">
      <c r="A446" s="48"/>
      <c r="B446" s="48"/>
      <c r="C446" s="60" t="s">
        <v>701</v>
      </c>
      <c r="D446" s="74" t="s">
        <v>12</v>
      </c>
      <c r="E446" s="74"/>
      <c r="F446" s="74"/>
      <c r="G446" s="74"/>
      <c r="H446" s="74"/>
      <c r="I446" s="74"/>
      <c r="J446" s="74"/>
      <c r="K446" s="74"/>
    </row>
    <row r="447" spans="1:28" x14ac:dyDescent="0.2">
      <c r="A447" s="48"/>
      <c r="B447" s="48"/>
      <c r="C447" s="60" t="s">
        <v>702</v>
      </c>
      <c r="D447" s="74" t="s">
        <v>11</v>
      </c>
      <c r="E447" s="74"/>
      <c r="F447" s="74"/>
      <c r="G447" s="74"/>
      <c r="H447" s="74"/>
      <c r="I447" s="74"/>
      <c r="J447" s="74"/>
      <c r="K447" s="74"/>
    </row>
    <row r="448" spans="1:28" x14ac:dyDescent="0.2">
      <c r="A448" s="48"/>
      <c r="B448" s="48"/>
      <c r="C448" s="56" t="s">
        <v>695</v>
      </c>
      <c r="D448" s="57">
        <f>Source!BZ336</f>
        <v>80</v>
      </c>
      <c r="E448" s="58">
        <f>(Source!AF336+Source!AE336)*Source!FX336/100</f>
        <v>1635.76</v>
      </c>
      <c r="F448" s="57"/>
      <c r="G448" s="59">
        <f>Source!X336</f>
        <v>14</v>
      </c>
      <c r="H448" s="57" t="str">
        <f>CONCATENATE(Source!AT336)</f>
        <v>80</v>
      </c>
      <c r="I448" s="57"/>
      <c r="J448" s="57"/>
      <c r="K448" s="57"/>
    </row>
    <row r="449" spans="1:28" x14ac:dyDescent="0.2">
      <c r="A449" s="48"/>
      <c r="B449" s="48"/>
      <c r="C449" s="56" t="s">
        <v>696</v>
      </c>
      <c r="D449" s="57">
        <f>Source!CA336</f>
        <v>45</v>
      </c>
      <c r="E449" s="58">
        <f>(Source!AF336+Source!AE336)*Source!FY336/100</f>
        <v>782.09775000000013</v>
      </c>
      <c r="F449" s="57" t="str">
        <f>CONCATENATE(Source!DM336,Source!FU336, "=", Source!FY336, "%")</f>
        <v>*0,85=38,25%</v>
      </c>
      <c r="G449" s="59">
        <f>Source!Y336</f>
        <v>6</v>
      </c>
      <c r="H449" s="57" t="str">
        <f>CONCATENATE(Source!AU336)</f>
        <v>38</v>
      </c>
      <c r="I449" s="57"/>
      <c r="J449" s="57"/>
      <c r="K449" s="57"/>
    </row>
    <row r="450" spans="1:28" x14ac:dyDescent="0.2">
      <c r="A450" s="48"/>
      <c r="B450" s="48"/>
      <c r="C450" s="56" t="s">
        <v>697</v>
      </c>
      <c r="D450" s="57"/>
      <c r="E450" s="58">
        <f>((Source!AF336+Source!AE336)*Source!FX336/100)+((Source!AF336+Source!AE336)*Source!FY336/100)+Source!AB336</f>
        <v>4462.5577499999999</v>
      </c>
      <c r="F450" s="57"/>
      <c r="G450" s="59">
        <f>Source!O336+Source!X336+Source!Y336</f>
        <v>37</v>
      </c>
      <c r="H450" s="57"/>
      <c r="I450" s="57"/>
      <c r="J450" s="57"/>
      <c r="K450" s="57"/>
    </row>
    <row r="451" spans="1:28" ht="196.5" x14ac:dyDescent="0.2">
      <c r="A451" s="49" t="str">
        <f>Source!E337</f>
        <v>43</v>
      </c>
      <c r="B451" s="49" t="str">
        <f>Source!F337</f>
        <v>Прайс-лист</v>
      </c>
      <c r="C451" s="50" t="s">
        <v>709</v>
      </c>
      <c r="D451" s="51">
        <f>Source!I337</f>
        <v>7</v>
      </c>
      <c r="E451" s="52">
        <f>Source!AB337</f>
        <v>1035.3</v>
      </c>
      <c r="F451" s="52">
        <f>Source!AD337</f>
        <v>0</v>
      </c>
      <c r="G451" s="53">
        <f>Source!O337</f>
        <v>7247</v>
      </c>
      <c r="H451" s="53">
        <f>Source!S337</f>
        <v>0</v>
      </c>
      <c r="I451" s="53">
        <f>Source!Q337</f>
        <v>0</v>
      </c>
      <c r="J451" s="54">
        <f>Source!AH337</f>
        <v>0</v>
      </c>
      <c r="K451" s="54">
        <f>Source!U337</f>
        <v>0</v>
      </c>
      <c r="T451">
        <f>Source!O337+Source!X337+Source!Y337</f>
        <v>7247</v>
      </c>
      <c r="U451">
        <f>Source!P337</f>
        <v>7247</v>
      </c>
      <c r="V451">
        <f>Source!S337</f>
        <v>0</v>
      </c>
      <c r="W451">
        <f>Source!Q337</f>
        <v>0</v>
      </c>
      <c r="X451">
        <f>Source!R337</f>
        <v>0</v>
      </c>
      <c r="Y451">
        <f>Source!U337</f>
        <v>0</v>
      </c>
      <c r="Z451">
        <f>Source!V337</f>
        <v>0</v>
      </c>
      <c r="AA451">
        <f>Source!X337</f>
        <v>0</v>
      </c>
      <c r="AB451">
        <f>Source!Y337</f>
        <v>0</v>
      </c>
    </row>
    <row r="452" spans="1:28" ht="14.25" x14ac:dyDescent="0.2">
      <c r="A452" s="48"/>
      <c r="B452" s="48"/>
      <c r="C452" s="55" t="str">
        <f>Source!H337</f>
        <v>ШТ</v>
      </c>
      <c r="D452" s="51"/>
      <c r="E452" s="52">
        <f>Source!AF337</f>
        <v>0</v>
      </c>
      <c r="F452" s="52">
        <f>Source!AE337</f>
        <v>0</v>
      </c>
      <c r="G452" s="53"/>
      <c r="H452" s="53"/>
      <c r="I452" s="53">
        <f>Source!R337</f>
        <v>0</v>
      </c>
      <c r="J452" s="54">
        <f>Source!AI337</f>
        <v>0</v>
      </c>
      <c r="K452" s="54">
        <f>Source!V337</f>
        <v>0</v>
      </c>
    </row>
    <row r="453" spans="1:28" ht="14.25" x14ac:dyDescent="0.2">
      <c r="A453" s="49" t="str">
        <f>Source!E338</f>
        <v>44</v>
      </c>
      <c r="B453" s="49" t="str">
        <f>Source!F338</f>
        <v>06-01-001-1</v>
      </c>
      <c r="C453" s="50" t="str">
        <f>Source!G338</f>
        <v>Устройство бетонной подготовки</v>
      </c>
      <c r="D453" s="51">
        <f>Source!I338</f>
        <v>4.1000000000000003E-3</v>
      </c>
      <c r="E453" s="52">
        <f>Source!AB338</f>
        <v>54712.7</v>
      </c>
      <c r="F453" s="52">
        <f>Source!AD338</f>
        <v>1982.7</v>
      </c>
      <c r="G453" s="53">
        <f>Source!O338</f>
        <v>224</v>
      </c>
      <c r="H453" s="53">
        <f>Source!S338</f>
        <v>5</v>
      </c>
      <c r="I453" s="53">
        <f>Source!Q338</f>
        <v>8</v>
      </c>
      <c r="J453" s="54">
        <f>Source!AH338</f>
        <v>206.99999999999997</v>
      </c>
      <c r="K453" s="54">
        <f>Source!U338</f>
        <v>0.84870000000000001</v>
      </c>
      <c r="T453">
        <f>Source!O338+Source!X338+Source!Y338</f>
        <v>233</v>
      </c>
      <c r="U453">
        <f>Source!P338</f>
        <v>211</v>
      </c>
      <c r="V453">
        <f>Source!S338</f>
        <v>5</v>
      </c>
      <c r="W453">
        <f>Source!Q338</f>
        <v>8</v>
      </c>
      <c r="X453">
        <f>Source!R338</f>
        <v>1</v>
      </c>
      <c r="Y453">
        <f>Source!U338</f>
        <v>0.84870000000000001</v>
      </c>
      <c r="Z453">
        <f>Source!V338</f>
        <v>9.2250000000000013E-2</v>
      </c>
      <c r="AA453">
        <f>Source!X338</f>
        <v>6</v>
      </c>
      <c r="AB453">
        <f>Source!Y338</f>
        <v>3</v>
      </c>
    </row>
    <row r="454" spans="1:28" ht="28.5" x14ac:dyDescent="0.2">
      <c r="A454" s="48"/>
      <c r="B454" s="48"/>
      <c r="C454" s="55" t="str">
        <f>Source!H338</f>
        <v>100 м3 бетона, бутобетона и железобетона в деле</v>
      </c>
      <c r="D454" s="51"/>
      <c r="E454" s="52">
        <f>Source!AF338</f>
        <v>1314.5</v>
      </c>
      <c r="F454" s="52">
        <f>Source!AE338</f>
        <v>298.39999999999998</v>
      </c>
      <c r="G454" s="53"/>
      <c r="H454" s="53"/>
      <c r="I454" s="53">
        <f>Source!R338</f>
        <v>1</v>
      </c>
      <c r="J454" s="54">
        <f>Source!AI338</f>
        <v>22.5</v>
      </c>
      <c r="K454" s="54">
        <f>Source!V338</f>
        <v>9.2250000000000013E-2</v>
      </c>
    </row>
    <row r="455" spans="1:28" x14ac:dyDescent="0.2">
      <c r="A455" s="48"/>
      <c r="B455" s="48"/>
      <c r="C455" s="60" t="str">
        <f>"Объем: "&amp;Source!I338&amp;"=("&amp;Source!I336&amp;"*"&amp;"100/"&amp;"2)/"&amp;"100"</f>
        <v>Объем: 0,0041=(0,0081*100/2)/100</v>
      </c>
      <c r="D455" s="48"/>
      <c r="E455" s="48"/>
      <c r="F455" s="48"/>
      <c r="G455" s="48"/>
      <c r="H455" s="48"/>
      <c r="I455" s="48"/>
      <c r="J455" s="48"/>
      <c r="K455" s="48"/>
    </row>
    <row r="456" spans="1:28" x14ac:dyDescent="0.2">
      <c r="A456" s="48"/>
      <c r="B456" s="48"/>
      <c r="C456" s="60" t="s">
        <v>698</v>
      </c>
      <c r="D456" s="74" t="s">
        <v>11</v>
      </c>
      <c r="E456" s="74"/>
      <c r="F456" s="74"/>
      <c r="G456" s="74"/>
      <c r="H456" s="74"/>
      <c r="I456" s="74"/>
      <c r="J456" s="74"/>
      <c r="K456" s="74"/>
    </row>
    <row r="457" spans="1:28" x14ac:dyDescent="0.2">
      <c r="A457" s="48"/>
      <c r="B457" s="48"/>
      <c r="C457" s="60" t="s">
        <v>699</v>
      </c>
      <c r="D457" s="74" t="s">
        <v>11</v>
      </c>
      <c r="E457" s="74"/>
      <c r="F457" s="74"/>
      <c r="G457" s="74"/>
      <c r="H457" s="74"/>
      <c r="I457" s="74"/>
      <c r="J457" s="74"/>
      <c r="K457" s="74"/>
    </row>
    <row r="458" spans="1:28" x14ac:dyDescent="0.2">
      <c r="A458" s="48"/>
      <c r="B458" s="48"/>
      <c r="C458" s="60" t="s">
        <v>700</v>
      </c>
      <c r="D458" s="74" t="s">
        <v>12</v>
      </c>
      <c r="E458" s="74"/>
      <c r="F458" s="74"/>
      <c r="G458" s="74"/>
      <c r="H458" s="74"/>
      <c r="I458" s="74"/>
      <c r="J458" s="74"/>
      <c r="K458" s="74"/>
    </row>
    <row r="459" spans="1:28" x14ac:dyDescent="0.2">
      <c r="A459" s="48"/>
      <c r="B459" s="48"/>
      <c r="C459" s="60" t="s">
        <v>701</v>
      </c>
      <c r="D459" s="74" t="s">
        <v>12</v>
      </c>
      <c r="E459" s="74"/>
      <c r="F459" s="74"/>
      <c r="G459" s="74"/>
      <c r="H459" s="74"/>
      <c r="I459" s="74"/>
      <c r="J459" s="74"/>
      <c r="K459" s="74"/>
    </row>
    <row r="460" spans="1:28" x14ac:dyDescent="0.2">
      <c r="A460" s="48"/>
      <c r="B460" s="48"/>
      <c r="C460" s="60" t="s">
        <v>702</v>
      </c>
      <c r="D460" s="74" t="s">
        <v>11</v>
      </c>
      <c r="E460" s="74"/>
      <c r="F460" s="74"/>
      <c r="G460" s="74"/>
      <c r="H460" s="74"/>
      <c r="I460" s="74"/>
      <c r="J460" s="74"/>
      <c r="K460" s="74"/>
    </row>
    <row r="461" spans="1:28" x14ac:dyDescent="0.2">
      <c r="A461" s="48"/>
      <c r="B461" s="48"/>
      <c r="C461" s="56" t="s">
        <v>695</v>
      </c>
      <c r="D461" s="57">
        <f>Source!BZ338</f>
        <v>105</v>
      </c>
      <c r="E461" s="58">
        <f>(Source!AF338+Source!AE338)*Source!FX338/100</f>
        <v>1693.5450000000001</v>
      </c>
      <c r="F461" s="57"/>
      <c r="G461" s="59">
        <f>Source!X338</f>
        <v>6</v>
      </c>
      <c r="H461" s="57" t="str">
        <f>CONCATENATE(Source!AT338)</f>
        <v>105</v>
      </c>
      <c r="I461" s="57"/>
      <c r="J461" s="57"/>
      <c r="K461" s="57"/>
    </row>
    <row r="462" spans="1:28" x14ac:dyDescent="0.2">
      <c r="A462" s="48"/>
      <c r="B462" s="48"/>
      <c r="C462" s="56" t="s">
        <v>696</v>
      </c>
      <c r="D462" s="57">
        <f>Source!CA338</f>
        <v>65</v>
      </c>
      <c r="E462" s="58">
        <f>(Source!AF338+Source!AE338)*Source!FY338/100</f>
        <v>891.12725</v>
      </c>
      <c r="F462" s="57" t="str">
        <f>CONCATENATE(Source!DM338,Source!FU338, "=", Source!FY338, "%")</f>
        <v>*0,85=55,25%</v>
      </c>
      <c r="G462" s="59">
        <f>Source!Y338</f>
        <v>3</v>
      </c>
      <c r="H462" s="57" t="str">
        <f>CONCATENATE(Source!AU338)</f>
        <v>55</v>
      </c>
      <c r="I462" s="57"/>
      <c r="J462" s="57"/>
      <c r="K462" s="57"/>
    </row>
    <row r="463" spans="1:28" x14ac:dyDescent="0.2">
      <c r="A463" s="48"/>
      <c r="B463" s="48"/>
      <c r="C463" s="56" t="s">
        <v>697</v>
      </c>
      <c r="D463" s="57"/>
      <c r="E463" s="58">
        <f>((Source!AF338+Source!AE338)*Source!FX338/100)+((Source!AF338+Source!AE338)*Source!FY338/100)+Source!AB338</f>
        <v>57297.37225</v>
      </c>
      <c r="F463" s="57"/>
      <c r="G463" s="59">
        <f>Source!O338+Source!X338+Source!Y338</f>
        <v>233</v>
      </c>
      <c r="H463" s="57"/>
      <c r="I463" s="57"/>
      <c r="J463" s="57"/>
      <c r="K463" s="57"/>
    </row>
    <row r="464" spans="1:28" ht="28.5" x14ac:dyDescent="0.2">
      <c r="A464" s="49" t="str">
        <f>Source!E339</f>
        <v>45</v>
      </c>
      <c r="B464" s="49" t="str">
        <f>Source!F339</f>
        <v>01-02-061-1</v>
      </c>
      <c r="C464" s="50" t="str">
        <f>Source!G339</f>
        <v>Засыпка вручную траншей, пазух котлованов и ям, группа грунтов: 1</v>
      </c>
      <c r="D464" s="51">
        <f>Source!I339</f>
        <v>4.1000000000000003E-3</v>
      </c>
      <c r="E464" s="52">
        <f>Source!AB339</f>
        <v>620.79999999999995</v>
      </c>
      <c r="F464" s="52">
        <f>Source!AD339</f>
        <v>0</v>
      </c>
      <c r="G464" s="53">
        <f>Source!O339</f>
        <v>3</v>
      </c>
      <c r="H464" s="53">
        <f>Source!S339</f>
        <v>3</v>
      </c>
      <c r="I464" s="53">
        <f>Source!Q339</f>
        <v>0</v>
      </c>
      <c r="J464" s="54">
        <f>Source!AH339</f>
        <v>101.77499999999999</v>
      </c>
      <c r="K464" s="54">
        <f>Source!U339</f>
        <v>0.41727750000000002</v>
      </c>
      <c r="T464">
        <f>Source!O339+Source!X339+Source!Y339</f>
        <v>6</v>
      </c>
      <c r="U464">
        <f>Source!P339</f>
        <v>0</v>
      </c>
      <c r="V464">
        <f>Source!S339</f>
        <v>3</v>
      </c>
      <c r="W464">
        <f>Source!Q339</f>
        <v>0</v>
      </c>
      <c r="X464">
        <f>Source!R339</f>
        <v>0</v>
      </c>
      <c r="Y464">
        <f>Source!U339</f>
        <v>0.41727750000000002</v>
      </c>
      <c r="Z464">
        <f>Source!V339</f>
        <v>0</v>
      </c>
      <c r="AA464">
        <f>Source!X339</f>
        <v>2</v>
      </c>
      <c r="AB464">
        <f>Source!Y339</f>
        <v>1</v>
      </c>
    </row>
    <row r="465" spans="1:11" ht="14.25" x14ac:dyDescent="0.2">
      <c r="A465" s="48"/>
      <c r="B465" s="48"/>
      <c r="C465" s="55" t="str">
        <f>Source!H339</f>
        <v>100 м3 грунта</v>
      </c>
      <c r="D465" s="51"/>
      <c r="E465" s="52">
        <f>Source!AF339</f>
        <v>620.79999999999995</v>
      </c>
      <c r="F465" s="52">
        <f>Source!AE339</f>
        <v>0</v>
      </c>
      <c r="G465" s="53"/>
      <c r="H465" s="53"/>
      <c r="I465" s="53">
        <f>Source!R339</f>
        <v>0</v>
      </c>
      <c r="J465" s="54">
        <f>Source!AI339</f>
        <v>0</v>
      </c>
      <c r="K465" s="54">
        <f>Source!V339</f>
        <v>0</v>
      </c>
    </row>
    <row r="466" spans="1:11" x14ac:dyDescent="0.2">
      <c r="A466" s="48"/>
      <c r="B466" s="48"/>
      <c r="C466" s="60" t="str">
        <f>"Объем: "&amp;Source!I339&amp;"=("&amp;Source!I338&amp;"*"&amp;"100)/"&amp;"100"</f>
        <v>Объем: 0,0041=(0,0041*100)/100</v>
      </c>
      <c r="D466" s="48"/>
      <c r="E466" s="48"/>
      <c r="F466" s="48"/>
      <c r="G466" s="48"/>
      <c r="H466" s="48"/>
      <c r="I466" s="48"/>
      <c r="J466" s="48"/>
      <c r="K466" s="48"/>
    </row>
    <row r="467" spans="1:11" x14ac:dyDescent="0.2">
      <c r="A467" s="48"/>
      <c r="B467" s="48"/>
      <c r="C467" s="60" t="s">
        <v>698</v>
      </c>
      <c r="D467" s="74" t="s">
        <v>61</v>
      </c>
      <c r="E467" s="74"/>
      <c r="F467" s="74"/>
      <c r="G467" s="74"/>
      <c r="H467" s="74"/>
      <c r="I467" s="74"/>
      <c r="J467" s="74"/>
      <c r="K467" s="74"/>
    </row>
    <row r="468" spans="1:11" x14ac:dyDescent="0.2">
      <c r="A468" s="48"/>
      <c r="B468" s="48"/>
      <c r="C468" s="60" t="s">
        <v>699</v>
      </c>
      <c r="D468" s="74" t="s">
        <v>61</v>
      </c>
      <c r="E468" s="74"/>
      <c r="F468" s="74"/>
      <c r="G468" s="74"/>
      <c r="H468" s="74"/>
      <c r="I468" s="74"/>
      <c r="J468" s="74"/>
      <c r="K468" s="74"/>
    </row>
    <row r="469" spans="1:11" x14ac:dyDescent="0.2">
      <c r="A469" s="48"/>
      <c r="B469" s="48"/>
      <c r="C469" s="60" t="s">
        <v>700</v>
      </c>
      <c r="D469" s="74" t="s">
        <v>62</v>
      </c>
      <c r="E469" s="74"/>
      <c r="F469" s="74"/>
      <c r="G469" s="74"/>
      <c r="H469" s="74"/>
      <c r="I469" s="74"/>
      <c r="J469" s="74"/>
      <c r="K469" s="74"/>
    </row>
    <row r="470" spans="1:11" x14ac:dyDescent="0.2">
      <c r="A470" s="48"/>
      <c r="B470" s="48"/>
      <c r="C470" s="60" t="s">
        <v>701</v>
      </c>
      <c r="D470" s="74" t="s">
        <v>62</v>
      </c>
      <c r="E470" s="74"/>
      <c r="F470" s="74"/>
      <c r="G470" s="74"/>
      <c r="H470" s="74"/>
      <c r="I470" s="74"/>
      <c r="J470" s="74"/>
      <c r="K470" s="74"/>
    </row>
    <row r="471" spans="1:11" x14ac:dyDescent="0.2">
      <c r="A471" s="48"/>
      <c r="B471" s="48"/>
      <c r="C471" s="60" t="s">
        <v>702</v>
      </c>
      <c r="D471" s="74" t="s">
        <v>61</v>
      </c>
      <c r="E471" s="74"/>
      <c r="F471" s="74"/>
      <c r="G471" s="74"/>
      <c r="H471" s="74"/>
      <c r="I471" s="74"/>
      <c r="J471" s="74"/>
      <c r="K471" s="74"/>
    </row>
    <row r="472" spans="1:11" x14ac:dyDescent="0.2">
      <c r="A472" s="48"/>
      <c r="B472" s="48"/>
      <c r="C472" s="56" t="s">
        <v>695</v>
      </c>
      <c r="D472" s="57">
        <f>Source!BZ339</f>
        <v>80</v>
      </c>
      <c r="E472" s="58">
        <f>(Source!AF339+Source!AE339)*Source!FX339/100</f>
        <v>496.64</v>
      </c>
      <c r="F472" s="57"/>
      <c r="G472" s="59">
        <f>Source!X339</f>
        <v>2</v>
      </c>
      <c r="H472" s="57" t="str">
        <f>CONCATENATE(Source!AT339)</f>
        <v>80</v>
      </c>
      <c r="I472" s="57"/>
      <c r="J472" s="57"/>
      <c r="K472" s="57"/>
    </row>
    <row r="473" spans="1:11" x14ac:dyDescent="0.2">
      <c r="A473" s="48"/>
      <c r="B473" s="48"/>
      <c r="C473" s="56" t="s">
        <v>696</v>
      </c>
      <c r="D473" s="57">
        <f>Source!CA339</f>
        <v>45</v>
      </c>
      <c r="E473" s="58">
        <f>(Source!AF339+Source!AE339)*Source!FY339/100</f>
        <v>237.45599999999999</v>
      </c>
      <c r="F473" s="57" t="str">
        <f>CONCATENATE(Source!DM339,Source!FU339, "=", Source!FY339, "%")</f>
        <v>*0,85=38,25%</v>
      </c>
      <c r="G473" s="59">
        <f>Source!Y339</f>
        <v>1</v>
      </c>
      <c r="H473" s="57" t="str">
        <f>CONCATENATE(Source!AU339)</f>
        <v>38</v>
      </c>
      <c r="I473" s="57"/>
      <c r="J473" s="57"/>
      <c r="K473" s="57"/>
    </row>
    <row r="474" spans="1:11" x14ac:dyDescent="0.2">
      <c r="A474" s="48"/>
      <c r="B474" s="48"/>
      <c r="C474" s="56" t="s">
        <v>697</v>
      </c>
      <c r="D474" s="57"/>
      <c r="E474" s="58">
        <f>((Source!AF339+Source!AE339)*Source!FX339/100)+((Source!AF339+Source!AE339)*Source!FY339/100)+Source!AB339</f>
        <v>1354.896</v>
      </c>
      <c r="F474" s="57"/>
      <c r="G474" s="59">
        <f>Source!O339+Source!X339+Source!Y339</f>
        <v>6</v>
      </c>
      <c r="H474" s="57"/>
      <c r="I474" s="57"/>
      <c r="J474" s="57"/>
      <c r="K474" s="57"/>
    </row>
    <row r="475" spans="1:11" x14ac:dyDescent="0.2">
      <c r="A475" s="48"/>
      <c r="B475" s="48"/>
      <c r="C475" s="48"/>
      <c r="D475" s="48"/>
      <c r="E475" s="48"/>
      <c r="F475" s="48"/>
      <c r="G475" s="48"/>
      <c r="H475" s="48"/>
      <c r="I475" s="48"/>
      <c r="J475" s="48"/>
      <c r="K475" s="48"/>
    </row>
    <row r="476" spans="1:11" ht="15" x14ac:dyDescent="0.25">
      <c r="A476" s="61"/>
      <c r="B476" s="61"/>
      <c r="C476" s="77" t="str">
        <f>CONCATENATE("Итого по подразделу: ",IF(Source!G341&lt;&gt;"Новый подраздел", Source!G341, ""))</f>
        <v>Итого по подразделу: Установка скамеек</v>
      </c>
      <c r="D476" s="77"/>
      <c r="E476" s="77"/>
      <c r="F476" s="77"/>
      <c r="G476" s="62">
        <f>IF(SUM(T439:T475)=0, "-", SUM(T439:T475))</f>
        <v>7523</v>
      </c>
      <c r="H476" s="62">
        <f>IF(SUM(V439:V475)=0, "-", SUM(V439:V475))</f>
        <v>25</v>
      </c>
      <c r="I476" s="62">
        <f>IF(SUM(W439:W475)=0, "-", SUM(W439:W475))</f>
        <v>8</v>
      </c>
      <c r="J476" s="62"/>
      <c r="K476" s="63">
        <f>IF(SUM(Y439:Y475)=0, "-", SUM(Y439:Y475))</f>
        <v>3.8741775000000001</v>
      </c>
    </row>
    <row r="477" spans="1:11" ht="15" x14ac:dyDescent="0.25">
      <c r="A477" s="61"/>
      <c r="B477" s="61"/>
      <c r="C477" s="61"/>
      <c r="D477" s="61"/>
      <c r="E477" s="61"/>
      <c r="F477" s="61"/>
      <c r="G477" s="62"/>
      <c r="H477" s="62"/>
      <c r="I477" s="62">
        <f>IF(SUM(X439:X475)=0, "-", SUM(X439:X475))</f>
        <v>1</v>
      </c>
      <c r="J477" s="62"/>
      <c r="K477" s="63">
        <f>IF(SUM(Z439:Z475)=0, "-", SUM(Z439:Z475))</f>
        <v>9.2250000000000013E-2</v>
      </c>
    </row>
    <row r="478" spans="1:11" x14ac:dyDescent="0.2">
      <c r="A478" s="48"/>
      <c r="B478" s="48"/>
      <c r="C478" s="48"/>
      <c r="D478" s="48"/>
      <c r="E478" s="48"/>
      <c r="F478" s="48"/>
      <c r="G478" s="48"/>
      <c r="H478" s="48"/>
      <c r="I478" s="48"/>
      <c r="J478" s="48"/>
      <c r="K478" s="48"/>
    </row>
    <row r="479" spans="1:11" x14ac:dyDescent="0.2">
      <c r="A479" s="48"/>
      <c r="B479" s="48"/>
      <c r="C479" s="48"/>
      <c r="D479" s="48"/>
      <c r="E479" s="48"/>
      <c r="F479" s="48"/>
      <c r="G479" s="48"/>
      <c r="H479" s="48"/>
      <c r="I479" s="48"/>
      <c r="J479" s="48"/>
      <c r="K479" s="48"/>
    </row>
    <row r="480" spans="1:11" x14ac:dyDescent="0.2">
      <c r="A480" s="48"/>
      <c r="B480" s="48"/>
      <c r="C480" s="48"/>
      <c r="D480" s="48"/>
      <c r="E480" s="48"/>
      <c r="F480" s="48"/>
      <c r="G480" s="48"/>
      <c r="H480" s="48"/>
      <c r="I480" s="48"/>
      <c r="J480" s="48"/>
      <c r="K480" s="48"/>
    </row>
    <row r="481" spans="1:28" ht="15" x14ac:dyDescent="0.25">
      <c r="A481" s="61"/>
      <c r="B481" s="61"/>
      <c r="C481" s="77" t="str">
        <f>CONCATENATE("Итого по разделу: ",IF(Source!G371&lt;&gt;"Новый раздел", Source!G371, ""))</f>
        <v>Итого по разделу: 1.  ул. Черняховского, д.14А</v>
      </c>
      <c r="D481" s="77"/>
      <c r="E481" s="77"/>
      <c r="F481" s="77"/>
      <c r="G481" s="62">
        <f>IF(SUM(T23:T480)=0, "-", SUM(T23:T480))</f>
        <v>538135</v>
      </c>
      <c r="H481" s="62">
        <f>IF(SUM(V23:V480)=0, "-", SUM(V23:V480))</f>
        <v>12126</v>
      </c>
      <c r="I481" s="62">
        <f>IF(SUM(W23:W480)=0, "-", SUM(W23:W480))</f>
        <v>61502</v>
      </c>
      <c r="J481" s="62"/>
      <c r="K481" s="63">
        <f>IF(SUM(Y23:Y480)=0, "-", SUM(Y23:Y480))</f>
        <v>1743.8319371</v>
      </c>
    </row>
    <row r="482" spans="1:28" ht="15" x14ac:dyDescent="0.25">
      <c r="A482" s="61"/>
      <c r="B482" s="61"/>
      <c r="C482" s="61"/>
      <c r="D482" s="61"/>
      <c r="E482" s="61"/>
      <c r="F482" s="61"/>
      <c r="G482" s="62"/>
      <c r="H482" s="62"/>
      <c r="I482" s="62">
        <f>IF(SUM(X23:X480)=0, "-", SUM(X23:X480))</f>
        <v>3884</v>
      </c>
      <c r="J482" s="62"/>
      <c r="K482" s="63">
        <f>IF(SUM(Z23:Z480)=0, "-", SUM(Z23:Z480))</f>
        <v>303.27306825000005</v>
      </c>
    </row>
    <row r="483" spans="1:28" ht="16.5" x14ac:dyDescent="0.25">
      <c r="A483" s="73" t="str">
        <f>CONCATENATE("Раздел: ",IF(Source!G408&lt;&gt;"Новый раздел", Source!G408, ""))</f>
        <v>Раздел: 3. Контейнерная площадка S=23,22м2</v>
      </c>
      <c r="B483" s="73"/>
      <c r="C483" s="73"/>
      <c r="D483" s="73"/>
      <c r="E483" s="73"/>
      <c r="F483" s="73"/>
      <c r="G483" s="73"/>
      <c r="H483" s="73"/>
      <c r="I483" s="73"/>
      <c r="J483" s="73"/>
      <c r="K483" s="73"/>
    </row>
    <row r="484" spans="1:28" ht="42.75" x14ac:dyDescent="0.2">
      <c r="A484" s="49" t="str">
        <f>Source!E412</f>
        <v>46</v>
      </c>
      <c r="B484" s="49" t="str">
        <f>Source!F412</f>
        <v>68-12-4</v>
      </c>
      <c r="C484" s="50" t="str">
        <f>Source!G412</f>
        <v>Разборка покрытий и оснований: асфальтобетонных с помощью молотков отбойных</v>
      </c>
      <c r="D484" s="51">
        <f>Source!I412</f>
        <v>7.0000000000000007E-2</v>
      </c>
      <c r="E484" s="52">
        <f>Source!AB412</f>
        <v>5623.8</v>
      </c>
      <c r="F484" s="52">
        <f>Source!AD412</f>
        <v>3978.7</v>
      </c>
      <c r="G484" s="53">
        <f>Source!O412</f>
        <v>394</v>
      </c>
      <c r="H484" s="53">
        <f>Source!S412</f>
        <v>115</v>
      </c>
      <c r="I484" s="53">
        <f>Source!Q412</f>
        <v>279</v>
      </c>
      <c r="J484" s="54">
        <f>Source!AH412</f>
        <v>243.35</v>
      </c>
      <c r="K484" s="54">
        <f>Source!U412</f>
        <v>17.034500000000001</v>
      </c>
      <c r="T484">
        <f>Source!O412+Source!X412+Source!Y412</f>
        <v>630</v>
      </c>
      <c r="U484">
        <f>Source!P412</f>
        <v>0</v>
      </c>
      <c r="V484">
        <f>Source!S412</f>
        <v>115</v>
      </c>
      <c r="W484">
        <f>Source!Q412</f>
        <v>279</v>
      </c>
      <c r="X484">
        <f>Source!R412</f>
        <v>29</v>
      </c>
      <c r="Y484">
        <f>Source!U412</f>
        <v>17.034500000000001</v>
      </c>
      <c r="Z484">
        <f>Source!V412</f>
        <v>2.8973000000000004</v>
      </c>
      <c r="AA484">
        <f>Source!X412</f>
        <v>150</v>
      </c>
      <c r="AB484">
        <f>Source!Y412</f>
        <v>86</v>
      </c>
    </row>
    <row r="485" spans="1:28" ht="14.25" x14ac:dyDescent="0.2">
      <c r="A485" s="48"/>
      <c r="B485" s="48"/>
      <c r="C485" s="55" t="str">
        <f>Source!H412</f>
        <v>100 м3 конструкций</v>
      </c>
      <c r="D485" s="51"/>
      <c r="E485" s="52">
        <f>Source!AF412</f>
        <v>1645.1</v>
      </c>
      <c r="F485" s="52">
        <f>Source!AE412</f>
        <v>416</v>
      </c>
      <c r="G485" s="53"/>
      <c r="H485" s="53"/>
      <c r="I485" s="53">
        <f>Source!R412</f>
        <v>29</v>
      </c>
      <c r="J485" s="54">
        <f>Source!AI412</f>
        <v>41.39</v>
      </c>
      <c r="K485" s="54">
        <f>Source!V412</f>
        <v>2.8973000000000004</v>
      </c>
    </row>
    <row r="486" spans="1:28" x14ac:dyDescent="0.2">
      <c r="A486" s="48"/>
      <c r="B486" s="48"/>
      <c r="C486" s="60" t="str">
        <f>"Объем: "&amp;Source!I412&amp;"=7/"&amp;"100"</f>
        <v>Объем: 0,07=7/100</v>
      </c>
      <c r="D486" s="48"/>
      <c r="E486" s="48"/>
      <c r="F486" s="48"/>
      <c r="G486" s="48"/>
      <c r="H486" s="48"/>
      <c r="I486" s="48"/>
      <c r="J486" s="48"/>
      <c r="K486" s="48"/>
    </row>
    <row r="487" spans="1:28" x14ac:dyDescent="0.2">
      <c r="A487" s="48"/>
      <c r="B487" s="48"/>
      <c r="C487" s="56" t="s">
        <v>695</v>
      </c>
      <c r="D487" s="57">
        <f>Source!BZ412</f>
        <v>104</v>
      </c>
      <c r="E487" s="58">
        <f>(Source!AF412+Source!AE412)*Source!FX412/100</f>
        <v>2143.5439999999999</v>
      </c>
      <c r="F487" s="57"/>
      <c r="G487" s="59">
        <f>Source!X412</f>
        <v>150</v>
      </c>
      <c r="H487" s="57" t="str">
        <f>CONCATENATE(Source!AT412)</f>
        <v>104</v>
      </c>
      <c r="I487" s="57"/>
      <c r="J487" s="57"/>
      <c r="K487" s="57"/>
    </row>
    <row r="488" spans="1:28" x14ac:dyDescent="0.2">
      <c r="A488" s="48"/>
      <c r="B488" s="48"/>
      <c r="C488" s="56" t="s">
        <v>696</v>
      </c>
      <c r="D488" s="57">
        <f>Source!CA412</f>
        <v>60</v>
      </c>
      <c r="E488" s="58">
        <f>(Source!AF412+Source!AE412)*Source!FY412/100</f>
        <v>1236.6600000000001</v>
      </c>
      <c r="F488" s="57"/>
      <c r="G488" s="59">
        <f>Source!Y412</f>
        <v>86</v>
      </c>
      <c r="H488" s="57" t="str">
        <f>CONCATENATE(Source!AU412)</f>
        <v>60</v>
      </c>
      <c r="I488" s="57"/>
      <c r="J488" s="57"/>
      <c r="K488" s="57"/>
    </row>
    <row r="489" spans="1:28" x14ac:dyDescent="0.2">
      <c r="A489" s="48"/>
      <c r="B489" s="48"/>
      <c r="C489" s="56" t="s">
        <v>697</v>
      </c>
      <c r="D489" s="57"/>
      <c r="E489" s="58">
        <f>((Source!AF412+Source!AE412)*Source!FX412/100)+((Source!AF412+Source!AE412)*Source!FY412/100)+Source!AB412</f>
        <v>9004.0040000000008</v>
      </c>
      <c r="F489" s="57"/>
      <c r="G489" s="59">
        <f>Source!O412+Source!X412+Source!Y412</f>
        <v>630</v>
      </c>
      <c r="H489" s="57"/>
      <c r="I489" s="57"/>
      <c r="J489" s="57"/>
      <c r="K489" s="57"/>
    </row>
    <row r="490" spans="1:28" ht="71.25" x14ac:dyDescent="0.2">
      <c r="A490" s="49" t="str">
        <f>Source!E413</f>
        <v>47</v>
      </c>
      <c r="B490" s="49" t="str">
        <f>Source!F413</f>
        <v>пг01-01-01-043</v>
      </c>
      <c r="C490" s="50" t="str">
        <f>Source!G413</f>
        <v>Погрузочные работы при автомобильных перевозках: мусора строительного с погрузкой экскаваторами емкостью ковша до 0,5 м3</v>
      </c>
      <c r="D490" s="51">
        <f>Source!I413</f>
        <v>15.4</v>
      </c>
      <c r="E490" s="52">
        <f>Source!AB413</f>
        <v>3.5</v>
      </c>
      <c r="F490" s="52">
        <f>Source!AD413</f>
        <v>3.5</v>
      </c>
      <c r="G490" s="53">
        <f>Source!O413</f>
        <v>54</v>
      </c>
      <c r="H490" s="53">
        <f>Source!S413</f>
        <v>0</v>
      </c>
      <c r="I490" s="53">
        <f>Source!Q413</f>
        <v>54</v>
      </c>
      <c r="J490" s="54">
        <f>Source!AH413</f>
        <v>0</v>
      </c>
      <c r="K490" s="54">
        <f>Source!U413</f>
        <v>0</v>
      </c>
      <c r="T490">
        <f>Source!O413+Source!X413+Source!Y413</f>
        <v>54</v>
      </c>
      <c r="U490">
        <f>Source!P413</f>
        <v>0</v>
      </c>
      <c r="V490">
        <f>Source!S413</f>
        <v>0</v>
      </c>
      <c r="W490">
        <f>Source!Q413</f>
        <v>54</v>
      </c>
      <c r="X490">
        <f>Source!R413</f>
        <v>0</v>
      </c>
      <c r="Y490">
        <f>Source!U413</f>
        <v>0</v>
      </c>
      <c r="Z490">
        <f>Source!V413</f>
        <v>0</v>
      </c>
      <c r="AA490">
        <f>Source!X413</f>
        <v>0</v>
      </c>
      <c r="AB490">
        <f>Source!Y413</f>
        <v>0</v>
      </c>
    </row>
    <row r="491" spans="1:28" ht="14.25" x14ac:dyDescent="0.2">
      <c r="A491" s="48"/>
      <c r="B491" s="48"/>
      <c r="C491" s="55" t="str">
        <f>Source!H413</f>
        <v>1 Т ГРУЗА</v>
      </c>
      <c r="D491" s="51"/>
      <c r="E491" s="52">
        <f>Source!AF413</f>
        <v>0</v>
      </c>
      <c r="F491" s="52">
        <f>Source!AE413</f>
        <v>0</v>
      </c>
      <c r="G491" s="53"/>
      <c r="H491" s="53"/>
      <c r="I491" s="53">
        <f>Source!R413</f>
        <v>0</v>
      </c>
      <c r="J491" s="54">
        <f>Source!AI413</f>
        <v>0</v>
      </c>
      <c r="K491" s="54">
        <f>Source!V413</f>
        <v>0</v>
      </c>
    </row>
    <row r="492" spans="1:28" x14ac:dyDescent="0.2">
      <c r="A492" s="48"/>
      <c r="B492" s="48"/>
      <c r="C492" s="60" t="str">
        <f>"Объем: "&amp;Source!I413&amp;"="&amp;Source!I412&amp;"*"&amp;"100*"&amp;"2,2"</f>
        <v>Объем: 15,4=0,07*100*2,2</v>
      </c>
      <c r="D492" s="48"/>
      <c r="E492" s="48"/>
      <c r="F492" s="48"/>
      <c r="G492" s="48"/>
      <c r="H492" s="48"/>
      <c r="I492" s="48"/>
      <c r="J492" s="48"/>
      <c r="K492" s="48"/>
    </row>
    <row r="493" spans="1:28" ht="57" x14ac:dyDescent="0.2">
      <c r="A493" s="49" t="str">
        <f>Source!E414</f>
        <v>48</v>
      </c>
      <c r="B493" s="49" t="str">
        <f>Source!F414</f>
        <v>пг03-21-01-005</v>
      </c>
      <c r="C493" s="50" t="str">
        <f>Source!G414</f>
        <v>Перевозка грузов автомобилями-самосвалами грузоподъемностью 10 т, работающих вне карьера, на расстояние: до 5 км I класс груза</v>
      </c>
      <c r="D493" s="51">
        <f>Source!I414</f>
        <v>15.4</v>
      </c>
      <c r="E493" s="52">
        <f>Source!AB414</f>
        <v>6.7</v>
      </c>
      <c r="F493" s="52">
        <f>Source!AD414</f>
        <v>6.7</v>
      </c>
      <c r="G493" s="53">
        <f>Source!O414</f>
        <v>103</v>
      </c>
      <c r="H493" s="53">
        <f>Source!S414</f>
        <v>0</v>
      </c>
      <c r="I493" s="53">
        <f>Source!Q414</f>
        <v>103</v>
      </c>
      <c r="J493" s="54">
        <f>Source!AH414</f>
        <v>0</v>
      </c>
      <c r="K493" s="54">
        <f>Source!U414</f>
        <v>0</v>
      </c>
      <c r="T493">
        <f>Source!O414+Source!X414+Source!Y414</f>
        <v>103</v>
      </c>
      <c r="U493">
        <f>Source!P414</f>
        <v>0</v>
      </c>
      <c r="V493">
        <f>Source!S414</f>
        <v>0</v>
      </c>
      <c r="W493">
        <f>Source!Q414</f>
        <v>103</v>
      </c>
      <c r="X493">
        <f>Source!R414</f>
        <v>0</v>
      </c>
      <c r="Y493">
        <f>Source!U414</f>
        <v>0</v>
      </c>
      <c r="Z493">
        <f>Source!V414</f>
        <v>0</v>
      </c>
      <c r="AA493">
        <f>Source!X414</f>
        <v>0</v>
      </c>
      <c r="AB493">
        <f>Source!Y414</f>
        <v>0</v>
      </c>
    </row>
    <row r="494" spans="1:28" ht="14.25" x14ac:dyDescent="0.2">
      <c r="A494" s="48"/>
      <c r="B494" s="48"/>
      <c r="C494" s="55" t="str">
        <f>Source!H414</f>
        <v>1 Т ГРУЗА</v>
      </c>
      <c r="D494" s="51"/>
      <c r="E494" s="52">
        <f>Source!AF414</f>
        <v>0</v>
      </c>
      <c r="F494" s="52">
        <f>Source!AE414</f>
        <v>0</v>
      </c>
      <c r="G494" s="53"/>
      <c r="H494" s="53"/>
      <c r="I494" s="53">
        <f>Source!R414</f>
        <v>0</v>
      </c>
      <c r="J494" s="54">
        <f>Source!AI414</f>
        <v>0</v>
      </c>
      <c r="K494" s="54">
        <f>Source!V414</f>
        <v>0</v>
      </c>
    </row>
    <row r="495" spans="1:28" ht="28.5" x14ac:dyDescent="0.2">
      <c r="A495" s="49" t="str">
        <f>Source!E415</f>
        <v>49</v>
      </c>
      <c r="B495" s="49" t="str">
        <f>Source!F415</f>
        <v>06-01-001-15</v>
      </c>
      <c r="C495" s="50" t="str">
        <f>Source!G415</f>
        <v>Устройство фундаментных плит бетонных плоских</v>
      </c>
      <c r="D495" s="51">
        <f>Source!I415</f>
        <v>2.4E-2</v>
      </c>
      <c r="E495" s="52">
        <f>Source!AB415</f>
        <v>56905.8</v>
      </c>
      <c r="F495" s="52">
        <f>Source!AD415</f>
        <v>2201.6999999999998</v>
      </c>
      <c r="G495" s="53">
        <f>Source!O415</f>
        <v>1366</v>
      </c>
      <c r="H495" s="53">
        <f>Source!S415</f>
        <v>22</v>
      </c>
      <c r="I495" s="53">
        <f>Source!Q415</f>
        <v>53</v>
      </c>
      <c r="J495" s="54">
        <f>Source!AH415</f>
        <v>134.34299999999999</v>
      </c>
      <c r="K495" s="54">
        <f>Source!U415</f>
        <v>3.2242319999999998</v>
      </c>
      <c r="T495">
        <f>Source!O415+Source!X415+Source!Y415</f>
        <v>1415</v>
      </c>
      <c r="U495">
        <f>Source!P415</f>
        <v>1291</v>
      </c>
      <c r="V495">
        <f>Source!S415</f>
        <v>22</v>
      </c>
      <c r="W495">
        <f>Source!Q415</f>
        <v>53</v>
      </c>
      <c r="X495">
        <f>Source!R415</f>
        <v>8</v>
      </c>
      <c r="Y495">
        <f>Source!U415</f>
        <v>3.2242319999999998</v>
      </c>
      <c r="Z495">
        <f>Source!V415</f>
        <v>0.58320000000000005</v>
      </c>
      <c r="AA495">
        <f>Source!X415</f>
        <v>32</v>
      </c>
      <c r="AB495">
        <f>Source!Y415</f>
        <v>17</v>
      </c>
    </row>
    <row r="496" spans="1:28" ht="28.5" x14ac:dyDescent="0.2">
      <c r="A496" s="48"/>
      <c r="B496" s="48"/>
      <c r="C496" s="55" t="str">
        <f>Source!H415</f>
        <v>100 м3 бетона, бутобетона и железобетона в деле</v>
      </c>
      <c r="D496" s="51"/>
      <c r="E496" s="52">
        <f>Source!AF415</f>
        <v>932.3</v>
      </c>
      <c r="F496" s="52">
        <f>Source!AE415</f>
        <v>321</v>
      </c>
      <c r="G496" s="53"/>
      <c r="H496" s="53"/>
      <c r="I496" s="53">
        <f>Source!R415</f>
        <v>8</v>
      </c>
      <c r="J496" s="54">
        <f>Source!AI415</f>
        <v>24.3</v>
      </c>
      <c r="K496" s="54">
        <f>Source!V415</f>
        <v>0.58320000000000005</v>
      </c>
    </row>
    <row r="497" spans="1:28" x14ac:dyDescent="0.2">
      <c r="A497" s="48"/>
      <c r="B497" s="48"/>
      <c r="C497" s="60" t="str">
        <f>"Объем: "&amp;Source!I415&amp;"=2,4/"&amp;"100"</f>
        <v>Объем: 0,024=2,4/100</v>
      </c>
      <c r="D497" s="48"/>
      <c r="E497" s="48"/>
      <c r="F497" s="48"/>
      <c r="G497" s="48"/>
      <c r="H497" s="48"/>
      <c r="I497" s="48"/>
      <c r="J497" s="48"/>
      <c r="K497" s="48"/>
    </row>
    <row r="498" spans="1:28" x14ac:dyDescent="0.2">
      <c r="A498" s="48"/>
      <c r="B498" s="48"/>
      <c r="C498" s="60" t="s">
        <v>698</v>
      </c>
      <c r="D498" s="74" t="s">
        <v>61</v>
      </c>
      <c r="E498" s="74"/>
      <c r="F498" s="74"/>
      <c r="G498" s="74"/>
      <c r="H498" s="74"/>
      <c r="I498" s="74"/>
      <c r="J498" s="74"/>
      <c r="K498" s="74"/>
    </row>
    <row r="499" spans="1:28" x14ac:dyDescent="0.2">
      <c r="A499" s="48"/>
      <c r="B499" s="48"/>
      <c r="C499" s="60" t="s">
        <v>699</v>
      </c>
      <c r="D499" s="74" t="s">
        <v>61</v>
      </c>
      <c r="E499" s="74"/>
      <c r="F499" s="74"/>
      <c r="G499" s="74"/>
      <c r="H499" s="74"/>
      <c r="I499" s="74"/>
      <c r="J499" s="74"/>
      <c r="K499" s="74"/>
    </row>
    <row r="500" spans="1:28" x14ac:dyDescent="0.2">
      <c r="A500" s="48"/>
      <c r="B500" s="48"/>
      <c r="C500" s="60" t="s">
        <v>700</v>
      </c>
      <c r="D500" s="74" t="s">
        <v>62</v>
      </c>
      <c r="E500" s="74"/>
      <c r="F500" s="74"/>
      <c r="G500" s="74"/>
      <c r="H500" s="74"/>
      <c r="I500" s="74"/>
      <c r="J500" s="74"/>
      <c r="K500" s="74"/>
    </row>
    <row r="501" spans="1:28" x14ac:dyDescent="0.2">
      <c r="A501" s="48"/>
      <c r="B501" s="48"/>
      <c r="C501" s="60" t="s">
        <v>701</v>
      </c>
      <c r="D501" s="74" t="s">
        <v>62</v>
      </c>
      <c r="E501" s="74"/>
      <c r="F501" s="74"/>
      <c r="G501" s="74"/>
      <c r="H501" s="74"/>
      <c r="I501" s="74"/>
      <c r="J501" s="74"/>
      <c r="K501" s="74"/>
    </row>
    <row r="502" spans="1:28" x14ac:dyDescent="0.2">
      <c r="A502" s="48"/>
      <c r="B502" s="48"/>
      <c r="C502" s="60" t="s">
        <v>702</v>
      </c>
      <c r="D502" s="74" t="s">
        <v>61</v>
      </c>
      <c r="E502" s="74"/>
      <c r="F502" s="74"/>
      <c r="G502" s="74"/>
      <c r="H502" s="74"/>
      <c r="I502" s="74"/>
      <c r="J502" s="74"/>
      <c r="K502" s="74"/>
    </row>
    <row r="503" spans="1:28" x14ac:dyDescent="0.2">
      <c r="A503" s="48"/>
      <c r="B503" s="48"/>
      <c r="C503" s="56" t="s">
        <v>695</v>
      </c>
      <c r="D503" s="57">
        <f>Source!BZ415</f>
        <v>105</v>
      </c>
      <c r="E503" s="58">
        <f>(Source!AF415+Source!AE415)*Source!FX415/100</f>
        <v>1315.9649999999999</v>
      </c>
      <c r="F503" s="57"/>
      <c r="G503" s="59">
        <f>Source!X415</f>
        <v>32</v>
      </c>
      <c r="H503" s="57" t="str">
        <f>CONCATENATE(Source!AT415)</f>
        <v>105</v>
      </c>
      <c r="I503" s="57"/>
      <c r="J503" s="57"/>
      <c r="K503" s="57"/>
    </row>
    <row r="504" spans="1:28" x14ac:dyDescent="0.2">
      <c r="A504" s="48"/>
      <c r="B504" s="48"/>
      <c r="C504" s="56" t="s">
        <v>696</v>
      </c>
      <c r="D504" s="57">
        <f>Source!CA415</f>
        <v>65</v>
      </c>
      <c r="E504" s="58">
        <f>(Source!AF415+Source!AE415)*Source!FY415/100</f>
        <v>692.44824999999992</v>
      </c>
      <c r="F504" s="57" t="str">
        <f>CONCATENATE(Source!DM415,Source!FU415, "=", Source!FY415, "%")</f>
        <v>*0,85=55,25%</v>
      </c>
      <c r="G504" s="59">
        <f>Source!Y415</f>
        <v>17</v>
      </c>
      <c r="H504" s="57" t="str">
        <f>CONCATENATE(Source!AU415)</f>
        <v>55</v>
      </c>
      <c r="I504" s="57"/>
      <c r="J504" s="57"/>
      <c r="K504" s="57"/>
    </row>
    <row r="505" spans="1:28" x14ac:dyDescent="0.2">
      <c r="A505" s="48"/>
      <c r="B505" s="48"/>
      <c r="C505" s="56" t="s">
        <v>697</v>
      </c>
      <c r="D505" s="57"/>
      <c r="E505" s="58">
        <f>((Source!AF415+Source!AE415)*Source!FX415/100)+((Source!AF415+Source!AE415)*Source!FY415/100)+Source!AB415</f>
        <v>58914.213250000001</v>
      </c>
      <c r="F505" s="57"/>
      <c r="G505" s="59">
        <f>Source!O415+Source!X415+Source!Y415</f>
        <v>1415</v>
      </c>
      <c r="H505" s="57"/>
      <c r="I505" s="57"/>
      <c r="J505" s="57"/>
      <c r="K505" s="57"/>
    </row>
    <row r="506" spans="1:28" ht="28.5" x14ac:dyDescent="0.2">
      <c r="A506" s="49" t="str">
        <f>Source!E416</f>
        <v>50</v>
      </c>
      <c r="B506" s="49" t="str">
        <f>Source!F416</f>
        <v>06-01-015-10</v>
      </c>
      <c r="C506" s="50" t="str">
        <f>Source!G416</f>
        <v>Армирование подстилающих слоев и набетонок</v>
      </c>
      <c r="D506" s="51">
        <f>Source!I416</f>
        <v>0.04</v>
      </c>
      <c r="E506" s="52">
        <f>Source!AB416</f>
        <v>5682.2</v>
      </c>
      <c r="F506" s="52">
        <f>Source!AD416</f>
        <v>46.2</v>
      </c>
      <c r="G506" s="53">
        <f>Source!O416</f>
        <v>227</v>
      </c>
      <c r="H506" s="53">
        <f>Source!S416</f>
        <v>4</v>
      </c>
      <c r="I506" s="53">
        <f>Source!Q416</f>
        <v>2</v>
      </c>
      <c r="J506" s="54">
        <f>Source!AH416</f>
        <v>14.536</v>
      </c>
      <c r="K506" s="54">
        <f>Source!U416</f>
        <v>0.58143999999999996</v>
      </c>
      <c r="T506">
        <f>Source!O416+Source!X416+Source!Y416</f>
        <v>233</v>
      </c>
      <c r="U506">
        <f>Source!P416</f>
        <v>221</v>
      </c>
      <c r="V506">
        <f>Source!S416</f>
        <v>4</v>
      </c>
      <c r="W506">
        <f>Source!Q416</f>
        <v>2</v>
      </c>
      <c r="X506">
        <f>Source!R416</f>
        <v>0</v>
      </c>
      <c r="Y506">
        <f>Source!U416</f>
        <v>0.58143999999999996</v>
      </c>
      <c r="Z506">
        <f>Source!V416</f>
        <v>8.0000000000000002E-3</v>
      </c>
      <c r="AA506">
        <f>Source!X416</f>
        <v>4</v>
      </c>
      <c r="AB506">
        <f>Source!Y416</f>
        <v>2</v>
      </c>
    </row>
    <row r="507" spans="1:28" ht="14.25" x14ac:dyDescent="0.2">
      <c r="A507" s="48"/>
      <c r="B507" s="48"/>
      <c r="C507" s="55" t="str">
        <f>Source!H416</f>
        <v>1 Т</v>
      </c>
      <c r="D507" s="51"/>
      <c r="E507" s="52">
        <f>Source!AF416</f>
        <v>104.8</v>
      </c>
      <c r="F507" s="52">
        <f>Source!AE416</f>
        <v>2.7</v>
      </c>
      <c r="G507" s="53"/>
      <c r="H507" s="53"/>
      <c r="I507" s="53">
        <f>Source!R416</f>
        <v>0</v>
      </c>
      <c r="J507" s="54">
        <f>Source!AI416</f>
        <v>0.2</v>
      </c>
      <c r="K507" s="54">
        <f>Source!V416</f>
        <v>8.0000000000000002E-3</v>
      </c>
    </row>
    <row r="508" spans="1:28" x14ac:dyDescent="0.2">
      <c r="A508" s="48"/>
      <c r="B508" s="48"/>
      <c r="C508" s="60" t="s">
        <v>698</v>
      </c>
      <c r="D508" s="74" t="s">
        <v>11</v>
      </c>
      <c r="E508" s="74"/>
      <c r="F508" s="74"/>
      <c r="G508" s="74"/>
      <c r="H508" s="74"/>
      <c r="I508" s="74"/>
      <c r="J508" s="74"/>
      <c r="K508" s="74"/>
    </row>
    <row r="509" spans="1:28" x14ac:dyDescent="0.2">
      <c r="A509" s="48"/>
      <c r="B509" s="48"/>
      <c r="C509" s="60" t="s">
        <v>699</v>
      </c>
      <c r="D509" s="74" t="s">
        <v>11</v>
      </c>
      <c r="E509" s="74"/>
      <c r="F509" s="74"/>
      <c r="G509" s="74"/>
      <c r="H509" s="74"/>
      <c r="I509" s="74"/>
      <c r="J509" s="74"/>
      <c r="K509" s="74"/>
    </row>
    <row r="510" spans="1:28" x14ac:dyDescent="0.2">
      <c r="A510" s="48"/>
      <c r="B510" s="48"/>
      <c r="C510" s="60" t="s">
        <v>700</v>
      </c>
      <c r="D510" s="74" t="s">
        <v>12</v>
      </c>
      <c r="E510" s="74"/>
      <c r="F510" s="74"/>
      <c r="G510" s="74"/>
      <c r="H510" s="74"/>
      <c r="I510" s="74"/>
      <c r="J510" s="74"/>
      <c r="K510" s="74"/>
    </row>
    <row r="511" spans="1:28" x14ac:dyDescent="0.2">
      <c r="A511" s="48"/>
      <c r="B511" s="48"/>
      <c r="C511" s="60" t="s">
        <v>701</v>
      </c>
      <c r="D511" s="74" t="s">
        <v>12</v>
      </c>
      <c r="E511" s="74"/>
      <c r="F511" s="74"/>
      <c r="G511" s="74"/>
      <c r="H511" s="74"/>
      <c r="I511" s="74"/>
      <c r="J511" s="74"/>
      <c r="K511" s="74"/>
    </row>
    <row r="512" spans="1:28" x14ac:dyDescent="0.2">
      <c r="A512" s="48"/>
      <c r="B512" s="48"/>
      <c r="C512" s="60" t="s">
        <v>702</v>
      </c>
      <c r="D512" s="74" t="s">
        <v>11</v>
      </c>
      <c r="E512" s="74"/>
      <c r="F512" s="74"/>
      <c r="G512" s="74"/>
      <c r="H512" s="74"/>
      <c r="I512" s="74"/>
      <c r="J512" s="74"/>
      <c r="K512" s="74"/>
    </row>
    <row r="513" spans="1:28" x14ac:dyDescent="0.2">
      <c r="A513" s="48"/>
      <c r="B513" s="48"/>
      <c r="C513" s="56" t="s">
        <v>695</v>
      </c>
      <c r="D513" s="57">
        <f>Source!BZ416</f>
        <v>105</v>
      </c>
      <c r="E513" s="58">
        <f>(Source!AF416+Source!AE416)*Source!FX416/100</f>
        <v>112.875</v>
      </c>
      <c r="F513" s="57"/>
      <c r="G513" s="59">
        <f>Source!X416</f>
        <v>4</v>
      </c>
      <c r="H513" s="57" t="str">
        <f>CONCATENATE(Source!AT416)</f>
        <v>105</v>
      </c>
      <c r="I513" s="57"/>
      <c r="J513" s="57"/>
      <c r="K513" s="57"/>
    </row>
    <row r="514" spans="1:28" x14ac:dyDescent="0.2">
      <c r="A514" s="48"/>
      <c r="B514" s="48"/>
      <c r="C514" s="56" t="s">
        <v>696</v>
      </c>
      <c r="D514" s="57">
        <f>Source!CA416</f>
        <v>65</v>
      </c>
      <c r="E514" s="58">
        <f>(Source!AF416+Source!AE416)*Source!FY416/100</f>
        <v>59.393749999999997</v>
      </c>
      <c r="F514" s="57" t="str">
        <f>CONCATENATE(Source!DM416,Source!FU416, "=", Source!FY416, "%")</f>
        <v>*0,85=55,25%</v>
      </c>
      <c r="G514" s="59">
        <f>Source!Y416</f>
        <v>2</v>
      </c>
      <c r="H514" s="57" t="str">
        <f>CONCATENATE(Source!AU416)</f>
        <v>55</v>
      </c>
      <c r="I514" s="57"/>
      <c r="J514" s="57"/>
      <c r="K514" s="57"/>
    </row>
    <row r="515" spans="1:28" x14ac:dyDescent="0.2">
      <c r="A515" s="48"/>
      <c r="B515" s="48"/>
      <c r="C515" s="56" t="s">
        <v>697</v>
      </c>
      <c r="D515" s="57"/>
      <c r="E515" s="58">
        <f>((Source!AF416+Source!AE416)*Source!FX416/100)+((Source!AF416+Source!AE416)*Source!FY416/100)+Source!AB416</f>
        <v>5854.46875</v>
      </c>
      <c r="F515" s="57"/>
      <c r="G515" s="59">
        <f>Source!O416+Source!X416+Source!Y416</f>
        <v>233</v>
      </c>
      <c r="H515" s="57"/>
      <c r="I515" s="57"/>
      <c r="J515" s="57"/>
      <c r="K515" s="57"/>
    </row>
    <row r="516" spans="1:28" ht="42.75" x14ac:dyDescent="0.2">
      <c r="A516" s="49" t="str">
        <f>Source!E417</f>
        <v>51</v>
      </c>
      <c r="B516" s="49" t="str">
        <f>Source!F417</f>
        <v>09-08-001-3</v>
      </c>
      <c r="C516" s="50" t="str">
        <f>Source!G417</f>
        <v>Установка металлических столбов высотой до 4 м: на подготовленный бетонный фундамент</v>
      </c>
      <c r="D516" s="51">
        <f>Source!I417</f>
        <v>0.16</v>
      </c>
      <c r="E516" s="52">
        <f>Source!AB417</f>
        <v>1836.5</v>
      </c>
      <c r="F516" s="52">
        <f>Source!AD417</f>
        <v>1484.9</v>
      </c>
      <c r="G516" s="53">
        <f>Source!O417</f>
        <v>294</v>
      </c>
      <c r="H516" s="53">
        <f>Source!S417</f>
        <v>56</v>
      </c>
      <c r="I516" s="53">
        <f>Source!Q417</f>
        <v>238</v>
      </c>
      <c r="J516" s="54">
        <f>Source!AH417</f>
        <v>50.657499999999992</v>
      </c>
      <c r="K516" s="54">
        <f>Source!U417</f>
        <v>8.1051999999999982</v>
      </c>
      <c r="T516">
        <f>Source!O417+Source!X417+Source!Y417</f>
        <v>488</v>
      </c>
      <c r="U516">
        <f>Source!P417</f>
        <v>0</v>
      </c>
      <c r="V516">
        <f>Source!S417</f>
        <v>56</v>
      </c>
      <c r="W516">
        <f>Source!Q417</f>
        <v>238</v>
      </c>
      <c r="X516">
        <f>Source!R417</f>
        <v>64</v>
      </c>
      <c r="Y516">
        <f>Source!U417</f>
        <v>8.1051999999999982</v>
      </c>
      <c r="Z516">
        <f>Source!V417</f>
        <v>5.64</v>
      </c>
      <c r="AA516">
        <f>Source!X417</f>
        <v>108</v>
      </c>
      <c r="AB516">
        <f>Source!Y417</f>
        <v>86</v>
      </c>
    </row>
    <row r="517" spans="1:28" ht="14.25" x14ac:dyDescent="0.2">
      <c r="A517" s="48"/>
      <c r="B517" s="48"/>
      <c r="C517" s="55" t="str">
        <f>Source!H417</f>
        <v>100 столбов</v>
      </c>
      <c r="D517" s="51"/>
      <c r="E517" s="52">
        <f>Source!AF417</f>
        <v>351.6</v>
      </c>
      <c r="F517" s="52">
        <f>Source!AE417</f>
        <v>401.2</v>
      </c>
      <c r="G517" s="53"/>
      <c r="H517" s="53"/>
      <c r="I517" s="53">
        <f>Source!R417</f>
        <v>64</v>
      </c>
      <c r="J517" s="54">
        <f>Source!AI417</f>
        <v>35.25</v>
      </c>
      <c r="K517" s="54">
        <f>Source!V417</f>
        <v>5.64</v>
      </c>
    </row>
    <row r="518" spans="1:28" x14ac:dyDescent="0.2">
      <c r="A518" s="48"/>
      <c r="B518" s="48"/>
      <c r="C518" s="60" t="str">
        <f>"Объем: "&amp;Source!I417&amp;"=16/"&amp;"100"</f>
        <v>Объем: 0,16=16/100</v>
      </c>
      <c r="D518" s="48"/>
      <c r="E518" s="48"/>
      <c r="F518" s="48"/>
      <c r="G518" s="48"/>
      <c r="H518" s="48"/>
      <c r="I518" s="48"/>
      <c r="J518" s="48"/>
      <c r="K518" s="48"/>
    </row>
    <row r="519" spans="1:28" x14ac:dyDescent="0.2">
      <c r="A519" s="48"/>
      <c r="B519" s="48"/>
      <c r="C519" s="60" t="s">
        <v>698</v>
      </c>
      <c r="D519" s="74" t="s">
        <v>11</v>
      </c>
      <c r="E519" s="74"/>
      <c r="F519" s="74"/>
      <c r="G519" s="74"/>
      <c r="H519" s="74"/>
      <c r="I519" s="74"/>
      <c r="J519" s="74"/>
      <c r="K519" s="74"/>
    </row>
    <row r="520" spans="1:28" x14ac:dyDescent="0.2">
      <c r="A520" s="48"/>
      <c r="B520" s="48"/>
      <c r="C520" s="60" t="s">
        <v>699</v>
      </c>
      <c r="D520" s="74" t="s">
        <v>11</v>
      </c>
      <c r="E520" s="74"/>
      <c r="F520" s="74"/>
      <c r="G520" s="74"/>
      <c r="H520" s="74"/>
      <c r="I520" s="74"/>
      <c r="J520" s="74"/>
      <c r="K520" s="74"/>
    </row>
    <row r="521" spans="1:28" x14ac:dyDescent="0.2">
      <c r="A521" s="48"/>
      <c r="B521" s="48"/>
      <c r="C521" s="60" t="s">
        <v>700</v>
      </c>
      <c r="D521" s="74" t="s">
        <v>12</v>
      </c>
      <c r="E521" s="74"/>
      <c r="F521" s="74"/>
      <c r="G521" s="74"/>
      <c r="H521" s="74"/>
      <c r="I521" s="74"/>
      <c r="J521" s="74"/>
      <c r="K521" s="74"/>
    </row>
    <row r="522" spans="1:28" x14ac:dyDescent="0.2">
      <c r="A522" s="48"/>
      <c r="B522" s="48"/>
      <c r="C522" s="60" t="s">
        <v>701</v>
      </c>
      <c r="D522" s="74" t="s">
        <v>12</v>
      </c>
      <c r="E522" s="74"/>
      <c r="F522" s="74"/>
      <c r="G522" s="74"/>
      <c r="H522" s="74"/>
      <c r="I522" s="74"/>
      <c r="J522" s="74"/>
      <c r="K522" s="74"/>
    </row>
    <row r="523" spans="1:28" x14ac:dyDescent="0.2">
      <c r="A523" s="48"/>
      <c r="B523" s="48"/>
      <c r="C523" s="60" t="s">
        <v>702</v>
      </c>
      <c r="D523" s="74" t="s">
        <v>11</v>
      </c>
      <c r="E523" s="74"/>
      <c r="F523" s="74"/>
      <c r="G523" s="74"/>
      <c r="H523" s="74"/>
      <c r="I523" s="74"/>
      <c r="J523" s="74"/>
      <c r="K523" s="74"/>
    </row>
    <row r="524" spans="1:28" x14ac:dyDescent="0.2">
      <c r="A524" s="48"/>
      <c r="B524" s="48"/>
      <c r="C524" s="56" t="s">
        <v>695</v>
      </c>
      <c r="D524" s="57">
        <f>Source!BZ417</f>
        <v>90</v>
      </c>
      <c r="E524" s="58">
        <f>(Source!AF417+Source!AE417)*Source!FX417/100</f>
        <v>677.52</v>
      </c>
      <c r="F524" s="57"/>
      <c r="G524" s="59">
        <f>Source!X417</f>
        <v>108</v>
      </c>
      <c r="H524" s="57" t="str">
        <f>CONCATENATE(Source!AT417)</f>
        <v>90</v>
      </c>
      <c r="I524" s="57"/>
      <c r="J524" s="57"/>
      <c r="K524" s="57"/>
    </row>
    <row r="525" spans="1:28" x14ac:dyDescent="0.2">
      <c r="A525" s="48"/>
      <c r="B525" s="48"/>
      <c r="C525" s="56" t="s">
        <v>696</v>
      </c>
      <c r="D525" s="57">
        <f>Source!CA417</f>
        <v>85</v>
      </c>
      <c r="E525" s="58">
        <f>(Source!AF417+Source!AE417)*Source!FY417/100</f>
        <v>543.89799999999991</v>
      </c>
      <c r="F525" s="57" t="str">
        <f>CONCATENATE(Source!DM417,Source!FU417, "=", Source!FY417, "%")</f>
        <v>*0,85=72,25%</v>
      </c>
      <c r="G525" s="59">
        <f>Source!Y417</f>
        <v>86</v>
      </c>
      <c r="H525" s="57" t="str">
        <f>CONCATENATE(Source!AU417)</f>
        <v>72</v>
      </c>
      <c r="I525" s="57"/>
      <c r="J525" s="57"/>
      <c r="K525" s="57"/>
    </row>
    <row r="526" spans="1:28" x14ac:dyDescent="0.2">
      <c r="A526" s="48"/>
      <c r="B526" s="48"/>
      <c r="C526" s="56" t="s">
        <v>697</v>
      </c>
      <c r="D526" s="57"/>
      <c r="E526" s="58">
        <f>((Source!AF417+Source!AE417)*Source!FX417/100)+((Source!AF417+Source!AE417)*Source!FY417/100)+Source!AB417</f>
        <v>3057.9179999999997</v>
      </c>
      <c r="F526" s="57"/>
      <c r="G526" s="59">
        <f>Source!O417+Source!X417+Source!Y417</f>
        <v>488</v>
      </c>
      <c r="H526" s="57"/>
      <c r="I526" s="57"/>
      <c r="J526" s="57"/>
      <c r="K526" s="57"/>
    </row>
    <row r="527" spans="1:28" ht="14.25" x14ac:dyDescent="0.2">
      <c r="A527" s="49" t="str">
        <f>Source!E418</f>
        <v>51,1</v>
      </c>
      <c r="B527" s="49" t="str">
        <f>Source!F418</f>
        <v>101-1929</v>
      </c>
      <c r="C527" s="50" t="str">
        <f>Source!G418</f>
        <v>Болты анкерные</v>
      </c>
      <c r="D527" s="51">
        <f>Source!I418</f>
        <v>8.4799999999999997E-3</v>
      </c>
      <c r="E527" s="52">
        <f>Source!AB418</f>
        <v>9291.4</v>
      </c>
      <c r="F527" s="52">
        <f>Source!AD418</f>
        <v>0</v>
      </c>
      <c r="G527" s="53">
        <f>Source!O418</f>
        <v>79</v>
      </c>
      <c r="H527" s="53">
        <f>Source!S418</f>
        <v>0</v>
      </c>
      <c r="I527" s="53">
        <f>Source!Q418</f>
        <v>0</v>
      </c>
      <c r="J527" s="54">
        <f>Source!AH418</f>
        <v>0</v>
      </c>
      <c r="K527" s="54">
        <f>Source!U418</f>
        <v>0</v>
      </c>
      <c r="T527">
        <f>Source!O418+Source!X418+Source!Y418</f>
        <v>79</v>
      </c>
      <c r="U527">
        <f>Source!P418</f>
        <v>79</v>
      </c>
      <c r="V527">
        <f>Source!S418</f>
        <v>0</v>
      </c>
      <c r="W527">
        <f>Source!Q418</f>
        <v>0</v>
      </c>
      <c r="X527">
        <f>Source!R418</f>
        <v>0</v>
      </c>
      <c r="Y527">
        <f>Source!U418</f>
        <v>0</v>
      </c>
      <c r="Z527">
        <f>Source!V418</f>
        <v>0</v>
      </c>
      <c r="AA527">
        <f>Source!X418</f>
        <v>0</v>
      </c>
      <c r="AB527">
        <f>Source!Y418</f>
        <v>0</v>
      </c>
    </row>
    <row r="528" spans="1:28" ht="14.25" x14ac:dyDescent="0.2">
      <c r="A528" s="48"/>
      <c r="B528" s="48"/>
      <c r="C528" s="55" t="str">
        <f>Source!H418</f>
        <v>т</v>
      </c>
      <c r="D528" s="51"/>
      <c r="E528" s="52">
        <f>Source!AF418</f>
        <v>0</v>
      </c>
      <c r="F528" s="52">
        <f>Source!AE418</f>
        <v>0</v>
      </c>
      <c r="G528" s="53"/>
      <c r="H528" s="53"/>
      <c r="I528" s="53">
        <f>Source!R418</f>
        <v>0</v>
      </c>
      <c r="J528" s="54">
        <f>Source!AI418</f>
        <v>0</v>
      </c>
      <c r="K528" s="54">
        <f>Source!V418</f>
        <v>0</v>
      </c>
    </row>
    <row r="529" spans="1:28" ht="42.75" x14ac:dyDescent="0.2">
      <c r="A529" s="49" t="str">
        <f>Source!E419</f>
        <v>51,2</v>
      </c>
      <c r="B529" s="49" t="str">
        <f>Source!F419</f>
        <v>103-1485</v>
      </c>
      <c r="C529" s="50" t="str">
        <f>Source!G419</f>
        <v>Трубы стальные квадратные (ГОСТ 8639-82) размером 40х40 мм, толщина стенки 3 мм</v>
      </c>
      <c r="D529" s="51">
        <f>Source!I419</f>
        <v>34.28</v>
      </c>
      <c r="E529" s="52">
        <f>Source!AB419</f>
        <v>25.9</v>
      </c>
      <c r="F529" s="52">
        <f>Source!AD419</f>
        <v>0</v>
      </c>
      <c r="G529" s="53">
        <f>Source!O419</f>
        <v>888</v>
      </c>
      <c r="H529" s="53">
        <f>Source!S419</f>
        <v>0</v>
      </c>
      <c r="I529" s="53">
        <f>Source!Q419</f>
        <v>0</v>
      </c>
      <c r="J529" s="54">
        <f>Source!AH419</f>
        <v>0</v>
      </c>
      <c r="K529" s="54">
        <f>Source!U419</f>
        <v>0</v>
      </c>
      <c r="T529">
        <f>Source!O419+Source!X419+Source!Y419</f>
        <v>888</v>
      </c>
      <c r="U529">
        <f>Source!P419</f>
        <v>888</v>
      </c>
      <c r="V529">
        <f>Source!S419</f>
        <v>0</v>
      </c>
      <c r="W529">
        <f>Source!Q419</f>
        <v>0</v>
      </c>
      <c r="X529">
        <f>Source!R419</f>
        <v>0</v>
      </c>
      <c r="Y529">
        <f>Source!U419</f>
        <v>0</v>
      </c>
      <c r="Z529">
        <f>Source!V419</f>
        <v>0</v>
      </c>
      <c r="AA529">
        <f>Source!X419</f>
        <v>0</v>
      </c>
      <c r="AB529">
        <f>Source!Y419</f>
        <v>0</v>
      </c>
    </row>
    <row r="530" spans="1:28" ht="14.25" x14ac:dyDescent="0.2">
      <c r="A530" s="48"/>
      <c r="B530" s="48"/>
      <c r="C530" s="55" t="str">
        <f>Source!H419</f>
        <v>м</v>
      </c>
      <c r="D530" s="51"/>
      <c r="E530" s="52">
        <f>Source!AF419</f>
        <v>0</v>
      </c>
      <c r="F530" s="52">
        <f>Source!AE419</f>
        <v>0</v>
      </c>
      <c r="G530" s="53"/>
      <c r="H530" s="53"/>
      <c r="I530" s="53">
        <f>Source!R419</f>
        <v>0</v>
      </c>
      <c r="J530" s="54">
        <f>Source!AI419</f>
        <v>0</v>
      </c>
      <c r="K530" s="54">
        <f>Source!V419</f>
        <v>0</v>
      </c>
    </row>
    <row r="531" spans="1:28" ht="42.75" x14ac:dyDescent="0.2">
      <c r="A531" s="49" t="str">
        <f>Source!E420</f>
        <v>52</v>
      </c>
      <c r="B531" s="49" t="str">
        <f>Source!F420</f>
        <v>09-08-002-5</v>
      </c>
      <c r="C531" s="50" t="str">
        <f>Source!G420</f>
        <v>Устройство заграждений из готовых металлических решетчатых панелей: высотой до 2 м</v>
      </c>
      <c r="D531" s="51">
        <f>Source!I420</f>
        <v>2.6</v>
      </c>
      <c r="E531" s="52">
        <f>Source!AB420</f>
        <v>85.1</v>
      </c>
      <c r="F531" s="52">
        <f>Source!AD420</f>
        <v>28.4</v>
      </c>
      <c r="G531" s="53">
        <f>Source!O420</f>
        <v>221</v>
      </c>
      <c r="H531" s="53">
        <f>Source!S420</f>
        <v>147</v>
      </c>
      <c r="I531" s="53">
        <f>Source!Q420</f>
        <v>74</v>
      </c>
      <c r="J531" s="54">
        <f>Source!AH420</f>
        <v>8.176499999999999</v>
      </c>
      <c r="K531" s="54">
        <f>Source!U420</f>
        <v>21.258899999999997</v>
      </c>
      <c r="T531">
        <f>Source!O420+Source!X420+Source!Y420</f>
        <v>493</v>
      </c>
      <c r="U531">
        <f>Source!P420</f>
        <v>0</v>
      </c>
      <c r="V531">
        <f>Source!S420</f>
        <v>147</v>
      </c>
      <c r="W531">
        <f>Source!Q420</f>
        <v>74</v>
      </c>
      <c r="X531">
        <f>Source!R420</f>
        <v>21</v>
      </c>
      <c r="Y531">
        <f>Source!U420</f>
        <v>21.258899999999997</v>
      </c>
      <c r="Z531">
        <f>Source!V420</f>
        <v>1.8524999999999998</v>
      </c>
      <c r="AA531">
        <f>Source!X420</f>
        <v>151</v>
      </c>
      <c r="AB531">
        <f>Source!Y420</f>
        <v>121</v>
      </c>
    </row>
    <row r="532" spans="1:28" ht="14.25" x14ac:dyDescent="0.2">
      <c r="A532" s="48"/>
      <c r="B532" s="48"/>
      <c r="C532" s="55" t="str">
        <f>Source!H420</f>
        <v>10 панелей</v>
      </c>
      <c r="D532" s="51"/>
      <c r="E532" s="52">
        <f>Source!AF420</f>
        <v>56.7</v>
      </c>
      <c r="F532" s="52">
        <f>Source!AE420</f>
        <v>8.1</v>
      </c>
      <c r="G532" s="53"/>
      <c r="H532" s="53"/>
      <c r="I532" s="53">
        <f>Source!R420</f>
        <v>21</v>
      </c>
      <c r="J532" s="54">
        <f>Source!AI420</f>
        <v>0.71249999999999991</v>
      </c>
      <c r="K532" s="54">
        <f>Source!V420</f>
        <v>1.8524999999999998</v>
      </c>
    </row>
    <row r="533" spans="1:28" x14ac:dyDescent="0.2">
      <c r="A533" s="48"/>
      <c r="B533" s="48"/>
      <c r="C533" s="60" t="str">
        <f>"Объем: "&amp;Source!I420&amp;"=26/"&amp;"10"</f>
        <v>Объем: 2,6=26/10</v>
      </c>
      <c r="D533" s="48"/>
      <c r="E533" s="48"/>
      <c r="F533" s="48"/>
      <c r="G533" s="48"/>
      <c r="H533" s="48"/>
      <c r="I533" s="48"/>
      <c r="J533" s="48"/>
      <c r="K533" s="48"/>
    </row>
    <row r="534" spans="1:28" x14ac:dyDescent="0.2">
      <c r="A534" s="48"/>
      <c r="B534" s="48"/>
      <c r="C534" s="60" t="s">
        <v>698</v>
      </c>
      <c r="D534" s="74" t="s">
        <v>61</v>
      </c>
      <c r="E534" s="74"/>
      <c r="F534" s="74"/>
      <c r="G534" s="74"/>
      <c r="H534" s="74"/>
      <c r="I534" s="74"/>
      <c r="J534" s="74"/>
      <c r="K534" s="74"/>
    </row>
    <row r="535" spans="1:28" x14ac:dyDescent="0.2">
      <c r="A535" s="48"/>
      <c r="B535" s="48"/>
      <c r="C535" s="60" t="s">
        <v>699</v>
      </c>
      <c r="D535" s="74" t="s">
        <v>61</v>
      </c>
      <c r="E535" s="74"/>
      <c r="F535" s="74"/>
      <c r="G535" s="74"/>
      <c r="H535" s="74"/>
      <c r="I535" s="74"/>
      <c r="J535" s="74"/>
      <c r="K535" s="74"/>
    </row>
    <row r="536" spans="1:28" x14ac:dyDescent="0.2">
      <c r="A536" s="48"/>
      <c r="B536" s="48"/>
      <c r="C536" s="60" t="s">
        <v>700</v>
      </c>
      <c r="D536" s="74" t="s">
        <v>62</v>
      </c>
      <c r="E536" s="74"/>
      <c r="F536" s="74"/>
      <c r="G536" s="74"/>
      <c r="H536" s="74"/>
      <c r="I536" s="74"/>
      <c r="J536" s="74"/>
      <c r="K536" s="74"/>
    </row>
    <row r="537" spans="1:28" x14ac:dyDescent="0.2">
      <c r="A537" s="48"/>
      <c r="B537" s="48"/>
      <c r="C537" s="60" t="s">
        <v>701</v>
      </c>
      <c r="D537" s="74" t="s">
        <v>62</v>
      </c>
      <c r="E537" s="74"/>
      <c r="F537" s="74"/>
      <c r="G537" s="74"/>
      <c r="H537" s="74"/>
      <c r="I537" s="74"/>
      <c r="J537" s="74"/>
      <c r="K537" s="74"/>
    </row>
    <row r="538" spans="1:28" x14ac:dyDescent="0.2">
      <c r="A538" s="48"/>
      <c r="B538" s="48"/>
      <c r="C538" s="60" t="s">
        <v>702</v>
      </c>
      <c r="D538" s="74" t="s">
        <v>61</v>
      </c>
      <c r="E538" s="74"/>
      <c r="F538" s="74"/>
      <c r="G538" s="74"/>
      <c r="H538" s="74"/>
      <c r="I538" s="74"/>
      <c r="J538" s="74"/>
      <c r="K538" s="74"/>
    </row>
    <row r="539" spans="1:28" x14ac:dyDescent="0.2">
      <c r="A539" s="48"/>
      <c r="B539" s="48"/>
      <c r="C539" s="56" t="s">
        <v>695</v>
      </c>
      <c r="D539" s="57">
        <f>Source!BZ420</f>
        <v>90</v>
      </c>
      <c r="E539" s="58">
        <f>(Source!AF420+Source!AE420)*Source!FX420/100</f>
        <v>58.32</v>
      </c>
      <c r="F539" s="57"/>
      <c r="G539" s="59">
        <f>Source!X420</f>
        <v>151</v>
      </c>
      <c r="H539" s="57" t="str">
        <f>CONCATENATE(Source!AT420)</f>
        <v>90</v>
      </c>
      <c r="I539" s="57"/>
      <c r="J539" s="57"/>
      <c r="K539" s="57"/>
    </row>
    <row r="540" spans="1:28" x14ac:dyDescent="0.2">
      <c r="A540" s="48"/>
      <c r="B540" s="48"/>
      <c r="C540" s="56" t="s">
        <v>696</v>
      </c>
      <c r="D540" s="57">
        <f>Source!CA420</f>
        <v>85</v>
      </c>
      <c r="E540" s="58">
        <f>(Source!AF420+Source!AE420)*Source!FY420/100</f>
        <v>46.818000000000005</v>
      </c>
      <c r="F540" s="57" t="str">
        <f>CONCATENATE(Source!DM420,Source!FU420, "=", Source!FY420, "%")</f>
        <v>*0,85=72,25%</v>
      </c>
      <c r="G540" s="59">
        <f>Source!Y420</f>
        <v>121</v>
      </c>
      <c r="H540" s="57" t="str">
        <f>CONCATENATE(Source!AU420)</f>
        <v>72</v>
      </c>
      <c r="I540" s="57"/>
      <c r="J540" s="57"/>
      <c r="K540" s="57"/>
    </row>
    <row r="541" spans="1:28" x14ac:dyDescent="0.2">
      <c r="A541" s="48"/>
      <c r="B541" s="48"/>
      <c r="C541" s="56" t="s">
        <v>697</v>
      </c>
      <c r="D541" s="57"/>
      <c r="E541" s="58">
        <f>((Source!AF420+Source!AE420)*Source!FX420/100)+((Source!AF420+Source!AE420)*Source!FY420/100)+Source!AB420</f>
        <v>190.238</v>
      </c>
      <c r="F541" s="57"/>
      <c r="G541" s="59">
        <f>Source!O420+Source!X420+Source!Y420</f>
        <v>493</v>
      </c>
      <c r="H541" s="57"/>
      <c r="I541" s="57"/>
      <c r="J541" s="57"/>
      <c r="K541" s="57"/>
    </row>
    <row r="542" spans="1:28" ht="42.75" x14ac:dyDescent="0.2">
      <c r="A542" s="49" t="str">
        <f>Source!E421</f>
        <v>52,1</v>
      </c>
      <c r="B542" s="49" t="str">
        <f>Source!F421</f>
        <v>103-1742</v>
      </c>
      <c r="C542" s="50" t="str">
        <f>Source!G421</f>
        <v>Трубы стальные прямоугольные (ГОСТ 8645-86) размером 35х20 мм, толщина стенки 3 мм</v>
      </c>
      <c r="D542" s="51">
        <f>Source!I421</f>
        <v>97.5</v>
      </c>
      <c r="E542" s="52">
        <f>Source!AB421</f>
        <v>16.600000000000001</v>
      </c>
      <c r="F542" s="52">
        <f>Source!AD421</f>
        <v>0</v>
      </c>
      <c r="G542" s="53">
        <f>Source!O421</f>
        <v>1619</v>
      </c>
      <c r="H542" s="53">
        <f>Source!S421</f>
        <v>0</v>
      </c>
      <c r="I542" s="53">
        <f>Source!Q421</f>
        <v>0</v>
      </c>
      <c r="J542" s="54">
        <f>Source!AH421</f>
        <v>0</v>
      </c>
      <c r="K542" s="54">
        <f>Source!U421</f>
        <v>0</v>
      </c>
      <c r="T542">
        <f>Source!O421+Source!X421+Source!Y421</f>
        <v>1619</v>
      </c>
      <c r="U542">
        <f>Source!P421</f>
        <v>1619</v>
      </c>
      <c r="V542">
        <f>Source!S421</f>
        <v>0</v>
      </c>
      <c r="W542">
        <f>Source!Q421</f>
        <v>0</v>
      </c>
      <c r="X542">
        <f>Source!R421</f>
        <v>0</v>
      </c>
      <c r="Y542">
        <f>Source!U421</f>
        <v>0</v>
      </c>
      <c r="Z542">
        <f>Source!V421</f>
        <v>0</v>
      </c>
      <c r="AA542">
        <f>Source!X421</f>
        <v>0</v>
      </c>
      <c r="AB542">
        <f>Source!Y421</f>
        <v>0</v>
      </c>
    </row>
    <row r="543" spans="1:28" ht="14.25" x14ac:dyDescent="0.2">
      <c r="A543" s="48"/>
      <c r="B543" s="48"/>
      <c r="C543" s="55" t="str">
        <f>Source!H421</f>
        <v>м</v>
      </c>
      <c r="D543" s="51"/>
      <c r="E543" s="52">
        <f>Source!AF421</f>
        <v>0</v>
      </c>
      <c r="F543" s="52">
        <f>Source!AE421</f>
        <v>0</v>
      </c>
      <c r="G543" s="53"/>
      <c r="H543" s="53"/>
      <c r="I543" s="53">
        <f>Source!R421</f>
        <v>0</v>
      </c>
      <c r="J543" s="54">
        <f>Source!AI421</f>
        <v>0</v>
      </c>
      <c r="K543" s="54">
        <f>Source!V421</f>
        <v>0</v>
      </c>
    </row>
    <row r="544" spans="1:28" ht="28.5" x14ac:dyDescent="0.2">
      <c r="A544" s="49" t="str">
        <f>Source!E422</f>
        <v>52,2</v>
      </c>
      <c r="B544" s="49" t="str">
        <f>Source!F422</f>
        <v>101-3034</v>
      </c>
      <c r="C544" s="50" t="str">
        <f>Source!G422</f>
        <v>Профилированный настил окрашенный С21-1000-0,5</v>
      </c>
      <c r="D544" s="51">
        <f>Source!I422</f>
        <v>0.27100000000000002</v>
      </c>
      <c r="E544" s="52">
        <f>Source!AB422</f>
        <v>12683.8</v>
      </c>
      <c r="F544" s="52">
        <f>Source!AD422</f>
        <v>0</v>
      </c>
      <c r="G544" s="53">
        <f>Source!O422</f>
        <v>3437</v>
      </c>
      <c r="H544" s="53">
        <f>Source!S422</f>
        <v>0</v>
      </c>
      <c r="I544" s="53">
        <f>Source!Q422</f>
        <v>0</v>
      </c>
      <c r="J544" s="54">
        <f>Source!AH422</f>
        <v>0</v>
      </c>
      <c r="K544" s="54">
        <f>Source!U422</f>
        <v>0</v>
      </c>
      <c r="T544">
        <f>Source!O422+Source!X422+Source!Y422</f>
        <v>3437</v>
      </c>
      <c r="U544">
        <f>Source!P422</f>
        <v>3437</v>
      </c>
      <c r="V544">
        <f>Source!S422</f>
        <v>0</v>
      </c>
      <c r="W544">
        <f>Source!Q422</f>
        <v>0</v>
      </c>
      <c r="X544">
        <f>Source!R422</f>
        <v>0</v>
      </c>
      <c r="Y544">
        <f>Source!U422</f>
        <v>0</v>
      </c>
      <c r="Z544">
        <f>Source!V422</f>
        <v>0</v>
      </c>
      <c r="AA544">
        <f>Source!X422</f>
        <v>0</v>
      </c>
      <c r="AB544">
        <f>Source!Y422</f>
        <v>0</v>
      </c>
    </row>
    <row r="545" spans="1:28" ht="14.25" x14ac:dyDescent="0.2">
      <c r="A545" s="48"/>
      <c r="B545" s="48"/>
      <c r="C545" s="55" t="str">
        <f>Source!H422</f>
        <v>т</v>
      </c>
      <c r="D545" s="51"/>
      <c r="E545" s="52">
        <f>Source!AF422</f>
        <v>0</v>
      </c>
      <c r="F545" s="52">
        <f>Source!AE422</f>
        <v>0</v>
      </c>
      <c r="G545" s="53"/>
      <c r="H545" s="53"/>
      <c r="I545" s="53">
        <f>Source!R422</f>
        <v>0</v>
      </c>
      <c r="J545" s="54">
        <f>Source!AI422</f>
        <v>0</v>
      </c>
      <c r="K545" s="54">
        <f>Source!V422</f>
        <v>0</v>
      </c>
    </row>
    <row r="546" spans="1:28" ht="28.5" x14ac:dyDescent="0.2">
      <c r="A546" s="49" t="str">
        <f>Source!E423</f>
        <v>52,3</v>
      </c>
      <c r="B546" s="49" t="str">
        <f>Source!F423</f>
        <v>101-5867</v>
      </c>
      <c r="C546" s="50" t="str">
        <f>Source!G423</f>
        <v>Шурупы самосверлящие (саморезы) SL4-F (SFS) 4,8х16 мм</v>
      </c>
      <c r="D546" s="51">
        <f>Source!I423</f>
        <v>54.2</v>
      </c>
      <c r="E546" s="52">
        <f>Source!AB423</f>
        <v>10.9</v>
      </c>
      <c r="F546" s="52">
        <f>Source!AD423</f>
        <v>0</v>
      </c>
      <c r="G546" s="53">
        <f>Source!O423</f>
        <v>591</v>
      </c>
      <c r="H546" s="53">
        <f>Source!S423</f>
        <v>0</v>
      </c>
      <c r="I546" s="53">
        <f>Source!Q423</f>
        <v>0</v>
      </c>
      <c r="J546" s="54">
        <f>Source!AH423</f>
        <v>0</v>
      </c>
      <c r="K546" s="54">
        <f>Source!U423</f>
        <v>0</v>
      </c>
      <c r="T546">
        <f>Source!O423+Source!X423+Source!Y423</f>
        <v>591</v>
      </c>
      <c r="U546">
        <f>Source!P423</f>
        <v>591</v>
      </c>
      <c r="V546">
        <f>Source!S423</f>
        <v>0</v>
      </c>
      <c r="W546">
        <f>Source!Q423</f>
        <v>0</v>
      </c>
      <c r="X546">
        <f>Source!R423</f>
        <v>0</v>
      </c>
      <c r="Y546">
        <f>Source!U423</f>
        <v>0</v>
      </c>
      <c r="Z546">
        <f>Source!V423</f>
        <v>0</v>
      </c>
      <c r="AA546">
        <f>Source!X423</f>
        <v>0</v>
      </c>
      <c r="AB546">
        <f>Source!Y423</f>
        <v>0</v>
      </c>
    </row>
    <row r="547" spans="1:28" ht="14.25" x14ac:dyDescent="0.2">
      <c r="A547" s="48"/>
      <c r="B547" s="48"/>
      <c r="C547" s="55" t="str">
        <f>Source!H423</f>
        <v>10 шт.</v>
      </c>
      <c r="D547" s="51"/>
      <c r="E547" s="52">
        <f>Source!AF423</f>
        <v>0</v>
      </c>
      <c r="F547" s="52">
        <f>Source!AE423</f>
        <v>0</v>
      </c>
      <c r="G547" s="53"/>
      <c r="H547" s="53"/>
      <c r="I547" s="53">
        <f>Source!R423</f>
        <v>0</v>
      </c>
      <c r="J547" s="54">
        <f>Source!AI423</f>
        <v>0</v>
      </c>
      <c r="K547" s="54">
        <f>Source!V423</f>
        <v>0</v>
      </c>
    </row>
    <row r="548" spans="1:28" ht="42.75" x14ac:dyDescent="0.2">
      <c r="A548" s="49" t="str">
        <f>Source!E424</f>
        <v>53</v>
      </c>
      <c r="B548" s="49" t="str">
        <f>Source!F424</f>
        <v>13-03-002-4</v>
      </c>
      <c r="C548" s="50" t="str">
        <f>Source!G424</f>
        <v>Огрунтовка металлических поверхностей за один раз: грунтовкой ГФ-021</v>
      </c>
      <c r="D548" s="51">
        <f>Source!I424</f>
        <v>0.14299999999999999</v>
      </c>
      <c r="E548" s="52">
        <f>Source!AB424</f>
        <v>253.7</v>
      </c>
      <c r="F548" s="52">
        <f>Source!AD424</f>
        <v>11.8</v>
      </c>
      <c r="G548" s="53">
        <f>Source!O424</f>
        <v>37</v>
      </c>
      <c r="H548" s="53">
        <f>Source!S424</f>
        <v>8</v>
      </c>
      <c r="I548" s="53">
        <f>Source!Q424</f>
        <v>2</v>
      </c>
      <c r="J548" s="54">
        <f>Source!AH424</f>
        <v>6.1064999999999987</v>
      </c>
      <c r="K548" s="54">
        <f>Source!U424</f>
        <v>0.87322949999999977</v>
      </c>
      <c r="T548">
        <f>Source!O424+Source!X424+Source!Y424</f>
        <v>49</v>
      </c>
      <c r="U548">
        <f>Source!P424</f>
        <v>27</v>
      </c>
      <c r="V548">
        <f>Source!S424</f>
        <v>8</v>
      </c>
      <c r="W548">
        <f>Source!Q424</f>
        <v>2</v>
      </c>
      <c r="X548">
        <f>Source!R424</f>
        <v>0</v>
      </c>
      <c r="Y548">
        <f>Source!U424</f>
        <v>0.87322949999999977</v>
      </c>
      <c r="Z548">
        <f>Source!V424</f>
        <v>1.7875E-3</v>
      </c>
      <c r="AA548">
        <f>Source!X424</f>
        <v>7</v>
      </c>
      <c r="AB548">
        <f>Source!Y424</f>
        <v>5</v>
      </c>
    </row>
    <row r="549" spans="1:28" ht="14.25" x14ac:dyDescent="0.2">
      <c r="A549" s="48"/>
      <c r="B549" s="48"/>
      <c r="C549" s="55" t="str">
        <f>Source!H424</f>
        <v>100 м2 окрашиваемой поверхности</v>
      </c>
      <c r="D549" s="51"/>
      <c r="E549" s="52">
        <f>Source!AF424</f>
        <v>52.9</v>
      </c>
      <c r="F549" s="52">
        <f>Source!AE424</f>
        <v>0.1</v>
      </c>
      <c r="G549" s="53"/>
      <c r="H549" s="53"/>
      <c r="I549" s="53">
        <f>Source!R424</f>
        <v>0</v>
      </c>
      <c r="J549" s="54">
        <f>Source!AI424</f>
        <v>1.2500000000000001E-2</v>
      </c>
      <c r="K549" s="54">
        <f>Source!V424</f>
        <v>1.7875E-3</v>
      </c>
    </row>
    <row r="550" spans="1:28" x14ac:dyDescent="0.2">
      <c r="A550" s="48"/>
      <c r="B550" s="48"/>
      <c r="C550" s="60" t="str">
        <f>"Объем: "&amp;Source!I424&amp;"=((0,1152+"&amp;"0,2135)*"&amp;"43,5)/"&amp;"100"</f>
        <v>Объем: 0,143=((0,1152+0,2135)*43,5)/100</v>
      </c>
      <c r="D550" s="48"/>
      <c r="E550" s="48"/>
      <c r="F550" s="48"/>
      <c r="G550" s="48"/>
      <c r="H550" s="48"/>
      <c r="I550" s="48"/>
      <c r="J550" s="48"/>
      <c r="K550" s="48"/>
    </row>
    <row r="551" spans="1:28" x14ac:dyDescent="0.2">
      <c r="A551" s="48"/>
      <c r="B551" s="48"/>
      <c r="C551" s="60" t="s">
        <v>698</v>
      </c>
      <c r="D551" s="74" t="s">
        <v>11</v>
      </c>
      <c r="E551" s="74"/>
      <c r="F551" s="74"/>
      <c r="G551" s="74"/>
      <c r="H551" s="74"/>
      <c r="I551" s="74"/>
      <c r="J551" s="74"/>
      <c r="K551" s="74"/>
    </row>
    <row r="552" spans="1:28" x14ac:dyDescent="0.2">
      <c r="A552" s="48"/>
      <c r="B552" s="48"/>
      <c r="C552" s="60" t="s">
        <v>699</v>
      </c>
      <c r="D552" s="74" t="s">
        <v>11</v>
      </c>
      <c r="E552" s="74"/>
      <c r="F552" s="74"/>
      <c r="G552" s="74"/>
      <c r="H552" s="74"/>
      <c r="I552" s="74"/>
      <c r="J552" s="74"/>
      <c r="K552" s="74"/>
    </row>
    <row r="553" spans="1:28" x14ac:dyDescent="0.2">
      <c r="A553" s="48"/>
      <c r="B553" s="48"/>
      <c r="C553" s="60" t="s">
        <v>700</v>
      </c>
      <c r="D553" s="74" t="s">
        <v>12</v>
      </c>
      <c r="E553" s="74"/>
      <c r="F553" s="74"/>
      <c r="G553" s="74"/>
      <c r="H553" s="74"/>
      <c r="I553" s="74"/>
      <c r="J553" s="74"/>
      <c r="K553" s="74"/>
    </row>
    <row r="554" spans="1:28" x14ac:dyDescent="0.2">
      <c r="A554" s="48"/>
      <c r="B554" s="48"/>
      <c r="C554" s="60" t="s">
        <v>701</v>
      </c>
      <c r="D554" s="74" t="s">
        <v>12</v>
      </c>
      <c r="E554" s="74"/>
      <c r="F554" s="74"/>
      <c r="G554" s="74"/>
      <c r="H554" s="74"/>
      <c r="I554" s="74"/>
      <c r="J554" s="74"/>
      <c r="K554" s="74"/>
    </row>
    <row r="555" spans="1:28" x14ac:dyDescent="0.2">
      <c r="A555" s="48"/>
      <c r="B555" s="48"/>
      <c r="C555" s="60" t="s">
        <v>702</v>
      </c>
      <c r="D555" s="74" t="s">
        <v>11</v>
      </c>
      <c r="E555" s="74"/>
      <c r="F555" s="74"/>
      <c r="G555" s="74"/>
      <c r="H555" s="74"/>
      <c r="I555" s="74"/>
      <c r="J555" s="74"/>
      <c r="K555" s="74"/>
    </row>
    <row r="556" spans="1:28" x14ac:dyDescent="0.2">
      <c r="A556" s="48"/>
      <c r="B556" s="48"/>
      <c r="C556" s="56" t="s">
        <v>695</v>
      </c>
      <c r="D556" s="57">
        <f>Source!BZ424</f>
        <v>90</v>
      </c>
      <c r="E556" s="58">
        <f>(Source!AF424+Source!AE424)*Source!FX424/100</f>
        <v>47.7</v>
      </c>
      <c r="F556" s="57"/>
      <c r="G556" s="59">
        <f>Source!X424</f>
        <v>7</v>
      </c>
      <c r="H556" s="57" t="str">
        <f>CONCATENATE(Source!AT424)</f>
        <v>90</v>
      </c>
      <c r="I556" s="57"/>
      <c r="J556" s="57"/>
      <c r="K556" s="57"/>
    </row>
    <row r="557" spans="1:28" x14ac:dyDescent="0.2">
      <c r="A557" s="48"/>
      <c r="B557" s="48"/>
      <c r="C557" s="56" t="s">
        <v>696</v>
      </c>
      <c r="D557" s="57">
        <f>Source!CA424</f>
        <v>70</v>
      </c>
      <c r="E557" s="58">
        <f>(Source!AF424+Source!AE424)*Source!FY424/100</f>
        <v>31.535</v>
      </c>
      <c r="F557" s="57" t="str">
        <f>CONCATENATE(Source!DM424,Source!FU424, "=", Source!FY424, "%")</f>
        <v>*0,85=59,5%</v>
      </c>
      <c r="G557" s="59">
        <f>Source!Y424</f>
        <v>5</v>
      </c>
      <c r="H557" s="57" t="str">
        <f>CONCATENATE(Source!AU424)</f>
        <v>60</v>
      </c>
      <c r="I557" s="57"/>
      <c r="J557" s="57"/>
      <c r="K557" s="57"/>
    </row>
    <row r="558" spans="1:28" x14ac:dyDescent="0.2">
      <c r="A558" s="48"/>
      <c r="B558" s="48"/>
      <c r="C558" s="56" t="s">
        <v>697</v>
      </c>
      <c r="D558" s="57"/>
      <c r="E558" s="58">
        <f>((Source!AF424+Source!AE424)*Source!FX424/100)+((Source!AF424+Source!AE424)*Source!FY424/100)+Source!AB424</f>
        <v>332.935</v>
      </c>
      <c r="F558" s="57"/>
      <c r="G558" s="59">
        <f>Source!O424+Source!X424+Source!Y424</f>
        <v>49</v>
      </c>
      <c r="H558" s="57"/>
      <c r="I558" s="57"/>
      <c r="J558" s="57"/>
      <c r="K558" s="57"/>
    </row>
    <row r="559" spans="1:28" ht="28.5" x14ac:dyDescent="0.2">
      <c r="A559" s="49" t="str">
        <f>Source!E425</f>
        <v>54</v>
      </c>
      <c r="B559" s="49" t="str">
        <f>Source!F425</f>
        <v>13-03-004-26</v>
      </c>
      <c r="C559" s="50" t="str">
        <f>Source!G425</f>
        <v>Окраска металлических огрунтованных поверхностей: эмалью ПФ-115</v>
      </c>
      <c r="D559" s="51">
        <f>Source!I425</f>
        <v>0.14299999999999999</v>
      </c>
      <c r="E559" s="52">
        <f>Source!AB425</f>
        <v>317.10000000000002</v>
      </c>
      <c r="F559" s="52">
        <f>Source!AD425</f>
        <v>7.7</v>
      </c>
      <c r="G559" s="53">
        <f>Source!O425</f>
        <v>46</v>
      </c>
      <c r="H559" s="53">
        <f>Source!S425</f>
        <v>5</v>
      </c>
      <c r="I559" s="53">
        <f>Source!Q425</f>
        <v>1</v>
      </c>
      <c r="J559" s="54">
        <f>Source!AH425</f>
        <v>4.4044999999999996</v>
      </c>
      <c r="K559" s="54">
        <f>Source!U425</f>
        <v>0.62984349999999989</v>
      </c>
      <c r="T559">
        <f>Source!O425+Source!X425+Source!Y425</f>
        <v>54</v>
      </c>
      <c r="U559">
        <f>Source!P425</f>
        <v>40</v>
      </c>
      <c r="V559">
        <f>Source!S425</f>
        <v>5</v>
      </c>
      <c r="W559">
        <f>Source!Q425</f>
        <v>1</v>
      </c>
      <c r="X559">
        <f>Source!R425</f>
        <v>0</v>
      </c>
      <c r="Y559">
        <f>Source!U425</f>
        <v>0.62984349999999989</v>
      </c>
      <c r="Z559">
        <f>Source!V425</f>
        <v>1.7875E-3</v>
      </c>
      <c r="AA559">
        <f>Source!X425</f>
        <v>5</v>
      </c>
      <c r="AB559">
        <f>Source!Y425</f>
        <v>3</v>
      </c>
    </row>
    <row r="560" spans="1:28" ht="14.25" x14ac:dyDescent="0.2">
      <c r="A560" s="48"/>
      <c r="B560" s="48"/>
      <c r="C560" s="55" t="str">
        <f>Source!H425</f>
        <v>100 м2 окрашиваемой поверхности</v>
      </c>
      <c r="D560" s="51"/>
      <c r="E560" s="52">
        <f>Source!AF425</f>
        <v>32.5</v>
      </c>
      <c r="F560" s="52">
        <f>Source!AE425</f>
        <v>0.1</v>
      </c>
      <c r="G560" s="53"/>
      <c r="H560" s="53"/>
      <c r="I560" s="53">
        <f>Source!R425</f>
        <v>0</v>
      </c>
      <c r="J560" s="54">
        <f>Source!AI425</f>
        <v>1.2500000000000001E-2</v>
      </c>
      <c r="K560" s="54">
        <f>Source!V425</f>
        <v>1.7875E-3</v>
      </c>
    </row>
    <row r="561" spans="1:33" x14ac:dyDescent="0.2">
      <c r="A561" s="48"/>
      <c r="B561" s="48"/>
      <c r="C561" s="60" t="str">
        <f>"Объем: "&amp;Source!I425&amp;"=("&amp;Source!I424&amp;"*"&amp;"100)/"&amp;"100"</f>
        <v>Объем: 0,143=(0,143*100)/100</v>
      </c>
      <c r="D561" s="48"/>
      <c r="E561" s="48"/>
      <c r="F561" s="48"/>
      <c r="G561" s="48"/>
      <c r="H561" s="48"/>
      <c r="I561" s="48"/>
      <c r="J561" s="48"/>
      <c r="K561" s="48"/>
    </row>
    <row r="562" spans="1:33" x14ac:dyDescent="0.2">
      <c r="A562" s="48"/>
      <c r="B562" s="48"/>
      <c r="C562" s="60" t="s">
        <v>698</v>
      </c>
      <c r="D562" s="74" t="s">
        <v>11</v>
      </c>
      <c r="E562" s="74"/>
      <c r="F562" s="74"/>
      <c r="G562" s="74"/>
      <c r="H562" s="74"/>
      <c r="I562" s="74"/>
      <c r="J562" s="74"/>
      <c r="K562" s="74"/>
    </row>
    <row r="563" spans="1:33" x14ac:dyDescent="0.2">
      <c r="A563" s="48"/>
      <c r="B563" s="48"/>
      <c r="C563" s="60" t="s">
        <v>699</v>
      </c>
      <c r="D563" s="74" t="s">
        <v>11</v>
      </c>
      <c r="E563" s="74"/>
      <c r="F563" s="74"/>
      <c r="G563" s="74"/>
      <c r="H563" s="74"/>
      <c r="I563" s="74"/>
      <c r="J563" s="74"/>
      <c r="K563" s="74"/>
    </row>
    <row r="564" spans="1:33" x14ac:dyDescent="0.2">
      <c r="A564" s="48"/>
      <c r="B564" s="48"/>
      <c r="C564" s="60" t="s">
        <v>700</v>
      </c>
      <c r="D564" s="74" t="s">
        <v>12</v>
      </c>
      <c r="E564" s="74"/>
      <c r="F564" s="74"/>
      <c r="G564" s="74"/>
      <c r="H564" s="74"/>
      <c r="I564" s="74"/>
      <c r="J564" s="74"/>
      <c r="K564" s="74"/>
    </row>
    <row r="565" spans="1:33" x14ac:dyDescent="0.2">
      <c r="A565" s="48"/>
      <c r="B565" s="48"/>
      <c r="C565" s="60" t="s">
        <v>701</v>
      </c>
      <c r="D565" s="74" t="s">
        <v>12</v>
      </c>
      <c r="E565" s="74"/>
      <c r="F565" s="74"/>
      <c r="G565" s="74"/>
      <c r="H565" s="74"/>
      <c r="I565" s="74"/>
      <c r="J565" s="74"/>
      <c r="K565" s="74"/>
    </row>
    <row r="566" spans="1:33" x14ac:dyDescent="0.2">
      <c r="A566" s="48"/>
      <c r="B566" s="48"/>
      <c r="C566" s="60" t="s">
        <v>702</v>
      </c>
      <c r="D566" s="74" t="s">
        <v>11</v>
      </c>
      <c r="E566" s="74"/>
      <c r="F566" s="74"/>
      <c r="G566" s="74"/>
      <c r="H566" s="74"/>
      <c r="I566" s="74"/>
      <c r="J566" s="74"/>
      <c r="K566" s="74"/>
    </row>
    <row r="567" spans="1:33" x14ac:dyDescent="0.2">
      <c r="A567" s="48"/>
      <c r="B567" s="48"/>
      <c r="C567" s="56" t="s">
        <v>695</v>
      </c>
      <c r="D567" s="57">
        <f>Source!BZ425</f>
        <v>90</v>
      </c>
      <c r="E567" s="58">
        <f>(Source!AF425+Source!AE425)*Source!FX425/100</f>
        <v>29.34</v>
      </c>
      <c r="F567" s="57"/>
      <c r="G567" s="59">
        <f>Source!X425</f>
        <v>5</v>
      </c>
      <c r="H567" s="57" t="str">
        <f>CONCATENATE(Source!AT425)</f>
        <v>90</v>
      </c>
      <c r="I567" s="57"/>
      <c r="J567" s="57"/>
      <c r="K567" s="57"/>
    </row>
    <row r="568" spans="1:33" x14ac:dyDescent="0.2">
      <c r="A568" s="48"/>
      <c r="B568" s="48"/>
      <c r="C568" s="56" t="s">
        <v>696</v>
      </c>
      <c r="D568" s="57">
        <f>Source!CA425</f>
        <v>70</v>
      </c>
      <c r="E568" s="58">
        <f>(Source!AF425+Source!AE425)*Source!FY425/100</f>
        <v>19.397000000000002</v>
      </c>
      <c r="F568" s="57" t="str">
        <f>CONCATENATE(Source!DM425,Source!FU425, "=", Source!FY425, "%")</f>
        <v>*0,85=59,5%</v>
      </c>
      <c r="G568" s="59">
        <f>Source!Y425</f>
        <v>3</v>
      </c>
      <c r="H568" s="57" t="str">
        <f>CONCATENATE(Source!AU425)</f>
        <v>60</v>
      </c>
      <c r="I568" s="57"/>
      <c r="J568" s="57"/>
      <c r="K568" s="57"/>
    </row>
    <row r="569" spans="1:33" x14ac:dyDescent="0.2">
      <c r="A569" s="48"/>
      <c r="B569" s="48"/>
      <c r="C569" s="56" t="s">
        <v>697</v>
      </c>
      <c r="D569" s="57"/>
      <c r="E569" s="58">
        <f>((Source!AF425+Source!AE425)*Source!FX425/100)+((Source!AF425+Source!AE425)*Source!FY425/100)+Source!AB425</f>
        <v>365.83700000000005</v>
      </c>
      <c r="F569" s="57"/>
      <c r="G569" s="59">
        <f>Source!O425+Source!X425+Source!Y425</f>
        <v>54</v>
      </c>
      <c r="H569" s="57"/>
      <c r="I569" s="57"/>
      <c r="J569" s="57"/>
      <c r="K569" s="57"/>
    </row>
    <row r="570" spans="1:33" x14ac:dyDescent="0.2">
      <c r="A570" s="48"/>
      <c r="B570" s="48"/>
      <c r="C570" s="48"/>
      <c r="D570" s="48"/>
      <c r="E570" s="48"/>
      <c r="F570" s="48"/>
      <c r="G570" s="48"/>
      <c r="H570" s="48"/>
      <c r="I570" s="48"/>
      <c r="J570" s="48"/>
      <c r="K570" s="48"/>
    </row>
    <row r="571" spans="1:33" ht="15" x14ac:dyDescent="0.25">
      <c r="A571" s="61"/>
      <c r="B571" s="61"/>
      <c r="C571" s="77" t="str">
        <f>CONCATENATE("Итого по разделу: ",IF(Source!G427&lt;&gt;"Новый раздел", Source!G427, ""))</f>
        <v>Итого по разделу: 3. Контейнерная площадка S=23,22м2</v>
      </c>
      <c r="D571" s="77"/>
      <c r="E571" s="77"/>
      <c r="F571" s="77"/>
      <c r="G571" s="62">
        <f>IF(SUM(T483:T570)=0, "-", SUM(T483:T570))</f>
        <v>10133</v>
      </c>
      <c r="H571" s="62">
        <f>IF(SUM(V483:V570)=0, "-", SUM(V483:V570))</f>
        <v>357</v>
      </c>
      <c r="I571" s="62">
        <f>IF(SUM(W483:W570)=0, "-", SUM(W483:W570))</f>
        <v>806</v>
      </c>
      <c r="J571" s="62"/>
      <c r="K571" s="63">
        <f>IF(SUM(Y483:Y570)=0, "-", SUM(Y483:Y570))</f>
        <v>51.707344999999997</v>
      </c>
      <c r="AG571" s="13" t="str">
        <f>CONCATENATE("Итого по разделу: ",IF(Source!G427&lt;&gt;"Новый раздел", Source!G427, ""))</f>
        <v>Итого по разделу: 3. Контейнерная площадка S=23,22м2</v>
      </c>
    </row>
    <row r="572" spans="1:33" ht="15" x14ac:dyDescent="0.25">
      <c r="A572" s="61"/>
      <c r="B572" s="61"/>
      <c r="C572" s="61"/>
      <c r="D572" s="61"/>
      <c r="E572" s="61"/>
      <c r="F572" s="61"/>
      <c r="G572" s="62"/>
      <c r="H572" s="62"/>
      <c r="I572" s="62">
        <f>IF(SUM(X483:X570)=0, "-", SUM(X483:X570))</f>
        <v>122</v>
      </c>
      <c r="J572" s="62"/>
      <c r="K572" s="63">
        <f>IF(SUM(Z483:Z570)=0, "-", SUM(Z483:Z570))</f>
        <v>10.984575000000001</v>
      </c>
    </row>
    <row r="573" spans="1:33" x14ac:dyDescent="0.2">
      <c r="A573" s="48"/>
      <c r="B573" s="48"/>
      <c r="C573" s="48"/>
      <c r="D573" s="48"/>
      <c r="E573" s="48"/>
      <c r="F573" s="48"/>
      <c r="G573" s="48"/>
      <c r="H573" s="48"/>
      <c r="I573" s="48"/>
      <c r="J573" s="48"/>
      <c r="K573" s="48"/>
    </row>
    <row r="574" spans="1:33" x14ac:dyDescent="0.2">
      <c r="A574" s="48"/>
      <c r="B574" s="48"/>
      <c r="C574" s="48"/>
      <c r="D574" s="48"/>
      <c r="E574" s="48"/>
      <c r="F574" s="48"/>
      <c r="G574" s="48"/>
      <c r="H574" s="48"/>
      <c r="I574" s="48"/>
      <c r="J574" s="48"/>
      <c r="K574" s="48"/>
    </row>
    <row r="575" spans="1:33" x14ac:dyDescent="0.2">
      <c r="A575" s="48"/>
      <c r="B575" s="48"/>
      <c r="C575" s="48"/>
      <c r="D575" s="48"/>
      <c r="E575" s="48"/>
      <c r="F575" s="48"/>
      <c r="G575" s="48"/>
      <c r="H575" s="48"/>
      <c r="I575" s="48"/>
      <c r="J575" s="48"/>
      <c r="K575" s="48"/>
    </row>
    <row r="576" spans="1:33" ht="15" x14ac:dyDescent="0.25">
      <c r="A576" s="61"/>
      <c r="B576" s="61"/>
      <c r="C576" s="77" t="str">
        <f>CONCATENATE("Итого по локальной смете: ",IF(Source!G457&lt;&gt;"Новая локальная смета", Source!G457, ""))</f>
        <v xml:space="preserve">Итого по локальной смете: </v>
      </c>
      <c r="D576" s="77"/>
      <c r="E576" s="77"/>
      <c r="F576" s="77"/>
      <c r="G576" s="62">
        <f>IF(SUM(T23:T575)=0, "-", SUM(T23:T575))</f>
        <v>548268</v>
      </c>
      <c r="H576" s="62">
        <f>IF(SUM(V23:V575)=0, "-", SUM(V23:V575))</f>
        <v>12483</v>
      </c>
      <c r="I576" s="62">
        <f>IF(SUM(W23:W575)=0, "-", SUM(W23:W575))</f>
        <v>62308</v>
      </c>
      <c r="J576" s="62"/>
      <c r="K576" s="63">
        <f>IF(SUM(Y23:Y575)=0, "-", SUM(Y23:Y575))</f>
        <v>1795.5392821</v>
      </c>
    </row>
    <row r="577" spans="1:11" ht="15" x14ac:dyDescent="0.25">
      <c r="A577" s="61"/>
      <c r="B577" s="61"/>
      <c r="C577" s="61"/>
      <c r="D577" s="61"/>
      <c r="E577" s="61"/>
      <c r="F577" s="61"/>
      <c r="G577" s="62"/>
      <c r="H577" s="62"/>
      <c r="I577" s="62">
        <f>IF(SUM(X23:X575)=0, "-", SUM(X23:X575))</f>
        <v>4006</v>
      </c>
      <c r="J577" s="62"/>
      <c r="K577" s="63">
        <f>IF(SUM(Z23:Z575)=0, "-", SUM(Z23:Z575))</f>
        <v>314.25764324999994</v>
      </c>
    </row>
    <row r="578" spans="1:11" x14ac:dyDescent="0.2">
      <c r="A578" s="48"/>
      <c r="B578" s="48"/>
      <c r="C578" s="48"/>
      <c r="D578" s="48"/>
      <c r="E578" s="48"/>
      <c r="F578" s="48"/>
      <c r="G578" s="48"/>
      <c r="H578" s="48"/>
      <c r="I578" s="48"/>
      <c r="J578" s="48"/>
      <c r="K578" s="48"/>
    </row>
    <row r="579" spans="1:11" x14ac:dyDescent="0.2">
      <c r="A579" s="48"/>
      <c r="B579" s="48"/>
      <c r="C579" s="48"/>
      <c r="D579" s="48"/>
      <c r="E579" s="48"/>
      <c r="F579" s="48"/>
      <c r="G579" s="48"/>
      <c r="H579" s="48"/>
      <c r="I579" s="48"/>
      <c r="J579" s="48"/>
      <c r="K579" s="48"/>
    </row>
    <row r="580" spans="1:11" ht="14.25" x14ac:dyDescent="0.2">
      <c r="A580" s="48"/>
      <c r="B580" s="48"/>
      <c r="C580" s="78" t="str">
        <f>Source!H483</f>
        <v>Накладные расходы</v>
      </c>
      <c r="D580" s="78"/>
      <c r="E580" s="78"/>
      <c r="F580" s="78"/>
      <c r="G580" s="78"/>
      <c r="H580" s="79">
        <f>IF(Source!F483=0, "", Source!F483)</f>
        <v>21361</v>
      </c>
      <c r="I580" s="79"/>
      <c r="J580" s="48"/>
      <c r="K580" s="48"/>
    </row>
    <row r="581" spans="1:11" ht="14.25" x14ac:dyDescent="0.2">
      <c r="A581" s="48"/>
      <c r="B581" s="48"/>
      <c r="C581" s="78" t="str">
        <f>Source!H484</f>
        <v>Сметная прибыль</v>
      </c>
      <c r="D581" s="78"/>
      <c r="E581" s="78"/>
      <c r="F581" s="78"/>
      <c r="G581" s="78"/>
      <c r="H581" s="79">
        <f>IF(Source!F484=0, "", Source!F484)</f>
        <v>12164</v>
      </c>
      <c r="I581" s="79"/>
      <c r="J581" s="48"/>
      <c r="K581" s="48"/>
    </row>
    <row r="582" spans="1:11" s="47" customFormat="1" ht="15" x14ac:dyDescent="0.25">
      <c r="A582" s="64"/>
      <c r="B582" s="64"/>
      <c r="C582" s="77" t="str">
        <f>Source!H486</f>
        <v>Индекс на 3 квартал 2020г. -8,21</v>
      </c>
      <c r="D582" s="77"/>
      <c r="E582" s="77"/>
      <c r="F582" s="77"/>
      <c r="G582" s="77"/>
      <c r="H582" s="88">
        <f>IF(Source!F486=0, "", Source!F486)</f>
        <v>4501280.28</v>
      </c>
      <c r="I582" s="88"/>
      <c r="J582" s="64"/>
      <c r="K582" s="64"/>
    </row>
    <row r="583" spans="1:11" s="47" customFormat="1" ht="15" x14ac:dyDescent="0.25">
      <c r="A583" s="64"/>
      <c r="B583" s="64"/>
      <c r="C583" s="77" t="str">
        <f>Source!H487</f>
        <v>НДС 20%</v>
      </c>
      <c r="D583" s="77"/>
      <c r="E583" s="77"/>
      <c r="F583" s="77"/>
      <c r="G583" s="77"/>
      <c r="H583" s="88">
        <f>IF(Source!F487=0, "", Source!F487)</f>
        <v>900256.06</v>
      </c>
      <c r="I583" s="88"/>
      <c r="J583" s="64"/>
      <c r="K583" s="64"/>
    </row>
    <row r="584" spans="1:11" s="47" customFormat="1" ht="15" x14ac:dyDescent="0.25">
      <c r="A584" s="64"/>
      <c r="B584" s="64"/>
      <c r="C584" s="77" t="str">
        <f>Source!H488</f>
        <v>Всего по смете</v>
      </c>
      <c r="D584" s="77"/>
      <c r="E584" s="77"/>
      <c r="F584" s="77"/>
      <c r="G584" s="77"/>
      <c r="H584" s="88">
        <f>IF(Source!F488=0, "", Source!F488)</f>
        <v>5401536.3399999999</v>
      </c>
      <c r="I584" s="88"/>
      <c r="J584" s="64"/>
      <c r="K584" s="64"/>
    </row>
    <row r="585" spans="1:11" ht="14.25" x14ac:dyDescent="0.2">
      <c r="A585" s="48"/>
      <c r="B585" s="48"/>
      <c r="C585" s="78" t="str">
        <f>Source!H489</f>
        <v/>
      </c>
      <c r="D585" s="78"/>
      <c r="E585" s="78"/>
      <c r="F585" s="78"/>
      <c r="G585" s="78"/>
      <c r="H585" s="87" t="str">
        <f>IF(Source!F489=0, "", Source!F489)</f>
        <v/>
      </c>
      <c r="I585" s="87"/>
      <c r="J585" s="48"/>
      <c r="K585" s="48"/>
    </row>
    <row r="586" spans="1:11" ht="14.25" x14ac:dyDescent="0.2">
      <c r="A586" s="48"/>
      <c r="B586" s="48"/>
      <c r="C586" s="78" t="str">
        <f>Source!H490</f>
        <v/>
      </c>
      <c r="D586" s="78"/>
      <c r="E586" s="78"/>
      <c r="F586" s="78"/>
      <c r="G586" s="78"/>
      <c r="H586" s="87" t="str">
        <f>IF(Source!F490=0, "", Source!F490)</f>
        <v/>
      </c>
      <c r="I586" s="87"/>
      <c r="J586" s="48"/>
      <c r="K586" s="48"/>
    </row>
    <row r="587" spans="1:11" ht="14.25" x14ac:dyDescent="0.2">
      <c r="A587" s="48"/>
      <c r="B587" s="48"/>
      <c r="C587" s="78" t="str">
        <f>Source!H491</f>
        <v>Возврат материалов по акту комиссии</v>
      </c>
      <c r="D587" s="78"/>
      <c r="E587" s="78"/>
      <c r="F587" s="78"/>
      <c r="G587" s="78"/>
      <c r="H587" s="87" t="str">
        <f>IF(Source!F491=0, "", Source!F491)</f>
        <v/>
      </c>
      <c r="I587" s="87"/>
      <c r="J587" s="48"/>
      <c r="K587" s="48"/>
    </row>
    <row r="591" spans="1:11" ht="14.25" x14ac:dyDescent="0.2">
      <c r="A591" s="69" t="s">
        <v>710</v>
      </c>
      <c r="B591" s="69"/>
      <c r="C591" s="14" t="str">
        <f>IF(Source!AC12&lt;&gt;"", Source!AC12," ")</f>
        <v xml:space="preserve"> </v>
      </c>
      <c r="D591" s="15"/>
      <c r="E591" s="15"/>
      <c r="F591" s="15"/>
      <c r="G591" s="15"/>
      <c r="H591" s="15"/>
      <c r="I591" s="11" t="str">
        <f>IF(Source!AB12&lt;&gt;"", Source!AB12," ")</f>
        <v xml:space="preserve"> </v>
      </c>
      <c r="J591" s="9"/>
      <c r="K591" s="9"/>
    </row>
    <row r="592" spans="1:11" ht="14.25" x14ac:dyDescent="0.2">
      <c r="A592" s="9"/>
      <c r="B592" s="9"/>
      <c r="C592" s="80" t="s">
        <v>711</v>
      </c>
      <c r="D592" s="80"/>
      <c r="E592" s="80"/>
      <c r="F592" s="80"/>
      <c r="G592" s="80"/>
      <c r="H592" s="80"/>
      <c r="I592" s="9"/>
      <c r="J592" s="9"/>
      <c r="K592" s="9"/>
    </row>
    <row r="593" spans="1:11" ht="14.25" x14ac:dyDescent="0.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</row>
    <row r="594" spans="1:11" ht="14.25" x14ac:dyDescent="0.2">
      <c r="A594" s="69" t="s">
        <v>712</v>
      </c>
      <c r="B594" s="69"/>
      <c r="C594" s="14" t="str">
        <f>IF(Source!AE12&lt;&gt;"", Source!AE12," ")</f>
        <v xml:space="preserve"> </v>
      </c>
      <c r="D594" s="15"/>
      <c r="E594" s="15"/>
      <c r="F594" s="15"/>
      <c r="G594" s="15"/>
      <c r="H594" s="15"/>
      <c r="I594" s="11" t="str">
        <f>IF(Source!AD12&lt;&gt;"", Source!AD12," ")</f>
        <v xml:space="preserve"> </v>
      </c>
      <c r="J594" s="9"/>
      <c r="K594" s="9"/>
    </row>
    <row r="595" spans="1:11" ht="14.25" x14ac:dyDescent="0.2">
      <c r="A595" s="9"/>
      <c r="B595" s="9"/>
      <c r="C595" s="80" t="s">
        <v>711</v>
      </c>
      <c r="D595" s="80"/>
      <c r="E595" s="80"/>
      <c r="F595" s="80"/>
      <c r="G595" s="80"/>
      <c r="H595" s="80"/>
      <c r="I595" s="9"/>
      <c r="J595" s="9"/>
      <c r="K595" s="9"/>
    </row>
  </sheetData>
  <mergeCells count="240">
    <mergeCell ref="A591:B591"/>
    <mergeCell ref="C592:H592"/>
    <mergeCell ref="A594:B594"/>
    <mergeCell ref="C595:H595"/>
    <mergeCell ref="A6:J6"/>
    <mergeCell ref="C9:F9"/>
    <mergeCell ref="A10:B10"/>
    <mergeCell ref="C10:K10"/>
    <mergeCell ref="A12:K12"/>
    <mergeCell ref="C585:G585"/>
    <mergeCell ref="H585:I585"/>
    <mergeCell ref="C586:G586"/>
    <mergeCell ref="H586:I586"/>
    <mergeCell ref="C587:G587"/>
    <mergeCell ref="H587:I587"/>
    <mergeCell ref="C582:G582"/>
    <mergeCell ref="H582:I582"/>
    <mergeCell ref="C583:G583"/>
    <mergeCell ref="H583:I583"/>
    <mergeCell ref="C584:G584"/>
    <mergeCell ref="H584:I584"/>
    <mergeCell ref="D566:K566"/>
    <mergeCell ref="C571:F571"/>
    <mergeCell ref="C576:F576"/>
    <mergeCell ref="C580:G580"/>
    <mergeCell ref="H580:I580"/>
    <mergeCell ref="C581:G581"/>
    <mergeCell ref="H581:I581"/>
    <mergeCell ref="D554:K554"/>
    <mergeCell ref="D555:K555"/>
    <mergeCell ref="D562:K562"/>
    <mergeCell ref="D563:K563"/>
    <mergeCell ref="D564:K564"/>
    <mergeCell ref="D565:K565"/>
    <mergeCell ref="D536:K536"/>
    <mergeCell ref="D537:K537"/>
    <mergeCell ref="D538:K538"/>
    <mergeCell ref="D551:K551"/>
    <mergeCell ref="D552:K552"/>
    <mergeCell ref="D553:K553"/>
    <mergeCell ref="D520:K520"/>
    <mergeCell ref="D521:K521"/>
    <mergeCell ref="D522:K522"/>
    <mergeCell ref="D523:K523"/>
    <mergeCell ref="D534:K534"/>
    <mergeCell ref="D535:K535"/>
    <mergeCell ref="D508:K508"/>
    <mergeCell ref="D509:K509"/>
    <mergeCell ref="D510:K510"/>
    <mergeCell ref="D511:K511"/>
    <mergeCell ref="D512:K512"/>
    <mergeCell ref="D519:K519"/>
    <mergeCell ref="A483:K483"/>
    <mergeCell ref="D498:K498"/>
    <mergeCell ref="D499:K499"/>
    <mergeCell ref="D500:K500"/>
    <mergeCell ref="D501:K501"/>
    <mergeCell ref="D502:K502"/>
    <mergeCell ref="D469:K469"/>
    <mergeCell ref="D470:K470"/>
    <mergeCell ref="D471:K471"/>
    <mergeCell ref="C476:F476"/>
    <mergeCell ref="C481:F481"/>
    <mergeCell ref="D457:K457"/>
    <mergeCell ref="D458:K458"/>
    <mergeCell ref="D459:K459"/>
    <mergeCell ref="D460:K460"/>
    <mergeCell ref="D467:K467"/>
    <mergeCell ref="D468:K468"/>
    <mergeCell ref="D443:K443"/>
    <mergeCell ref="D444:K444"/>
    <mergeCell ref="D445:K445"/>
    <mergeCell ref="D446:K446"/>
    <mergeCell ref="D447:K447"/>
    <mergeCell ref="D456:K456"/>
    <mergeCell ref="D427:K427"/>
    <mergeCell ref="D428:K428"/>
    <mergeCell ref="D429:K429"/>
    <mergeCell ref="D430:K430"/>
    <mergeCell ref="C434:F434"/>
    <mergeCell ref="A439:K439"/>
    <mergeCell ref="D415:K415"/>
    <mergeCell ref="D416:K416"/>
    <mergeCell ref="D417:K417"/>
    <mergeCell ref="D418:K418"/>
    <mergeCell ref="D419:K419"/>
    <mergeCell ref="D426:K426"/>
    <mergeCell ref="A398:K398"/>
    <mergeCell ref="D402:K402"/>
    <mergeCell ref="D403:K403"/>
    <mergeCell ref="D404:K404"/>
    <mergeCell ref="D405:K405"/>
    <mergeCell ref="D406:K406"/>
    <mergeCell ref="D380:K380"/>
    <mergeCell ref="D381:K381"/>
    <mergeCell ref="D382:K382"/>
    <mergeCell ref="D383:K383"/>
    <mergeCell ref="D384:K384"/>
    <mergeCell ref="C393:F393"/>
    <mergeCell ref="D358:K358"/>
    <mergeCell ref="D367:K367"/>
    <mergeCell ref="D368:K368"/>
    <mergeCell ref="D369:K369"/>
    <mergeCell ref="D370:K370"/>
    <mergeCell ref="D371:K371"/>
    <mergeCell ref="D344:K344"/>
    <mergeCell ref="D345:K345"/>
    <mergeCell ref="D354:K354"/>
    <mergeCell ref="D355:K355"/>
    <mergeCell ref="D356:K356"/>
    <mergeCell ref="D357:K357"/>
    <mergeCell ref="D322:K322"/>
    <mergeCell ref="C332:F332"/>
    <mergeCell ref="A337:K337"/>
    <mergeCell ref="D341:K341"/>
    <mergeCell ref="D342:K342"/>
    <mergeCell ref="D343:K343"/>
    <mergeCell ref="D300:K300"/>
    <mergeCell ref="D301:K301"/>
    <mergeCell ref="D318:K318"/>
    <mergeCell ref="D319:K319"/>
    <mergeCell ref="D320:K320"/>
    <mergeCell ref="D321:K321"/>
    <mergeCell ref="D286:K286"/>
    <mergeCell ref="D287:K287"/>
    <mergeCell ref="D288:K288"/>
    <mergeCell ref="D297:K297"/>
    <mergeCell ref="D298:K298"/>
    <mergeCell ref="D299:K299"/>
    <mergeCell ref="D274:K274"/>
    <mergeCell ref="D275:K275"/>
    <mergeCell ref="D276:K276"/>
    <mergeCell ref="D277:K277"/>
    <mergeCell ref="D284:K284"/>
    <mergeCell ref="D285:K285"/>
    <mergeCell ref="D252:K252"/>
    <mergeCell ref="D253:K253"/>
    <mergeCell ref="D254:K254"/>
    <mergeCell ref="C264:F264"/>
    <mergeCell ref="A269:K269"/>
    <mergeCell ref="D273:K273"/>
    <mergeCell ref="D238:K238"/>
    <mergeCell ref="D239:K239"/>
    <mergeCell ref="D240:K240"/>
    <mergeCell ref="D241:K241"/>
    <mergeCell ref="D250:K250"/>
    <mergeCell ref="D251:K251"/>
    <mergeCell ref="D224:K224"/>
    <mergeCell ref="D225:K225"/>
    <mergeCell ref="D226:K226"/>
    <mergeCell ref="D227:K227"/>
    <mergeCell ref="D228:K228"/>
    <mergeCell ref="D237:K237"/>
    <mergeCell ref="A209:K209"/>
    <mergeCell ref="D213:K213"/>
    <mergeCell ref="D214:K214"/>
    <mergeCell ref="D215:K215"/>
    <mergeCell ref="D216:K216"/>
    <mergeCell ref="D217:K217"/>
    <mergeCell ref="D191:K191"/>
    <mergeCell ref="D192:K192"/>
    <mergeCell ref="D193:K193"/>
    <mergeCell ref="D194:K194"/>
    <mergeCell ref="D195:K195"/>
    <mergeCell ref="C204:F204"/>
    <mergeCell ref="D175:K175"/>
    <mergeCell ref="D176:K176"/>
    <mergeCell ref="D177:K177"/>
    <mergeCell ref="D178:K178"/>
    <mergeCell ref="D179:K179"/>
    <mergeCell ref="D190:K190"/>
    <mergeCell ref="D157:K157"/>
    <mergeCell ref="D164:K164"/>
    <mergeCell ref="D165:K165"/>
    <mergeCell ref="D166:K166"/>
    <mergeCell ref="D167:K167"/>
    <mergeCell ref="D168:K168"/>
    <mergeCell ref="D145:K145"/>
    <mergeCell ref="D152:K152"/>
    <mergeCell ref="D153:K153"/>
    <mergeCell ref="D154:K154"/>
    <mergeCell ref="D155:K155"/>
    <mergeCell ref="D156:K156"/>
    <mergeCell ref="D133:K133"/>
    <mergeCell ref="D134:K134"/>
    <mergeCell ref="D141:K141"/>
    <mergeCell ref="D142:K142"/>
    <mergeCell ref="D143:K143"/>
    <mergeCell ref="D144:K144"/>
    <mergeCell ref="D121:K121"/>
    <mergeCell ref="D122:K122"/>
    <mergeCell ref="D123:K123"/>
    <mergeCell ref="D130:K130"/>
    <mergeCell ref="D131:K131"/>
    <mergeCell ref="D132:K132"/>
    <mergeCell ref="D107:K107"/>
    <mergeCell ref="D108:K108"/>
    <mergeCell ref="D109:K109"/>
    <mergeCell ref="D110:K110"/>
    <mergeCell ref="D119:K119"/>
    <mergeCell ref="D120:K120"/>
    <mergeCell ref="D93:K93"/>
    <mergeCell ref="D94:K94"/>
    <mergeCell ref="D95:K95"/>
    <mergeCell ref="D96:K96"/>
    <mergeCell ref="D97:K97"/>
    <mergeCell ref="D106:K106"/>
    <mergeCell ref="D54:K54"/>
    <mergeCell ref="D55:K55"/>
    <mergeCell ref="C83:F83"/>
    <mergeCell ref="A88:K88"/>
    <mergeCell ref="A89:K89"/>
    <mergeCell ref="D51:K51"/>
    <mergeCell ref="D52:K52"/>
    <mergeCell ref="D53:K53"/>
    <mergeCell ref="J16:K18"/>
    <mergeCell ref="E17:E18"/>
    <mergeCell ref="F17:F18"/>
    <mergeCell ref="G17:G20"/>
    <mergeCell ref="H17:H20"/>
    <mergeCell ref="I17:I18"/>
    <mergeCell ref="E19:E20"/>
    <mergeCell ref="F19:F20"/>
    <mergeCell ref="I19:I20"/>
    <mergeCell ref="J19:K19"/>
    <mergeCell ref="D16:D20"/>
    <mergeCell ref="E16:F16"/>
    <mergeCell ref="G16:I16"/>
    <mergeCell ref="A13:E15"/>
    <mergeCell ref="F13:H13"/>
    <mergeCell ref="I13:J13"/>
    <mergeCell ref="F14:H14"/>
    <mergeCell ref="I14:J14"/>
    <mergeCell ref="F15:H15"/>
    <mergeCell ref="I15:J15"/>
    <mergeCell ref="A23:K23"/>
    <mergeCell ref="A25:K25"/>
    <mergeCell ref="A16:A20"/>
    <mergeCell ref="B16:B20"/>
    <mergeCell ref="C16:C20"/>
  </mergeCells>
  <pageMargins left="0.39370078740157483" right="0.19685039370078741" top="0.19685039370078741" bottom="0.19685039370078741" header="0.19685039370078741" footer="0.19685039370078741"/>
  <pageSetup paperSize="9" scale="60" fitToHeight="0" orientation="portrait" verticalDpi="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22F05-CC76-4BCE-A0C0-35C05A795819}">
  <sheetPr>
    <pageSetUpPr fitToPage="1"/>
  </sheetPr>
  <dimension ref="A1:AD100"/>
  <sheetViews>
    <sheetView topLeftCell="A79" zoomScaleNormal="100" workbookViewId="0">
      <selection activeCell="A91" sqref="A91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1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C2" s="9"/>
      <c r="D2" s="9"/>
    </row>
    <row r="3" spans="1:30" x14ac:dyDescent="0.2">
      <c r="C3" s="31" t="s">
        <v>720</v>
      </c>
      <c r="D3" s="32"/>
      <c r="E3" s="33"/>
    </row>
    <row r="4" spans="1:30" x14ac:dyDescent="0.2">
      <c r="C4" s="35" t="s">
        <v>721</v>
      </c>
      <c r="D4" s="32"/>
      <c r="E4" s="33"/>
    </row>
    <row r="5" spans="1:30" x14ac:dyDescent="0.2">
      <c r="C5" s="35" t="s">
        <v>722</v>
      </c>
      <c r="D5" s="32"/>
      <c r="E5" s="33"/>
    </row>
    <row r="6" spans="1:30" x14ac:dyDescent="0.2">
      <c r="C6" s="35" t="s">
        <v>724</v>
      </c>
      <c r="D6" s="32"/>
      <c r="E6" s="33"/>
    </row>
    <row r="7" spans="1:30" x14ac:dyDescent="0.2">
      <c r="C7" s="37" t="s">
        <v>726</v>
      </c>
      <c r="D7" s="32"/>
      <c r="E7" s="33"/>
    </row>
    <row r="8" spans="1:30" ht="15" x14ac:dyDescent="0.25">
      <c r="C8" s="16"/>
      <c r="D8" s="16"/>
    </row>
    <row r="9" spans="1:30" ht="14.25" x14ac:dyDescent="0.2">
      <c r="A9" s="9"/>
      <c r="B9" s="9"/>
      <c r="C9" s="9"/>
      <c r="D9" s="9"/>
      <c r="E9" s="9"/>
    </row>
    <row r="10" spans="1:30" ht="15.75" x14ac:dyDescent="0.25">
      <c r="A10" s="90" t="str">
        <f>CONCATENATE("Ведомость объемов работ ", IF(Source!AN15&lt;&gt;"", Source!AN15," "))</f>
        <v xml:space="preserve">Ведомость объемов работ  </v>
      </c>
      <c r="B10" s="90"/>
      <c r="C10" s="90"/>
      <c r="D10" s="90"/>
      <c r="E10" s="9"/>
    </row>
    <row r="11" spans="1:30" ht="15" x14ac:dyDescent="0.25">
      <c r="A11" s="91" t="str">
        <f>'Смета 11 граф c НР и СП'!C10</f>
        <v>Благоустройство дворовой территории в районе дома №14А по ул. Черняховского в г. Смоленске</v>
      </c>
      <c r="B11" s="91"/>
      <c r="C11" s="91"/>
      <c r="D11" s="91"/>
      <c r="E11" s="9"/>
      <c r="AD11" s="18" t="str">
        <f>CONCATENATE("На капитальный ремонт ", Source!F12, " ", Source!G12)</f>
        <v>На капитальный ремонт Новый объект_(Копия)_(Копия) 4.  №14а по ул. Черняховского</v>
      </c>
    </row>
    <row r="12" spans="1:30" ht="14.25" x14ac:dyDescent="0.2">
      <c r="A12" s="9"/>
      <c r="B12" s="9"/>
      <c r="C12" s="9"/>
      <c r="D12" s="9"/>
      <c r="E12" s="9"/>
    </row>
    <row r="13" spans="1:30" ht="28.5" x14ac:dyDescent="0.2">
      <c r="A13" s="12" t="s">
        <v>680</v>
      </c>
      <c r="B13" s="12" t="s">
        <v>713</v>
      </c>
      <c r="C13" s="12" t="s">
        <v>714</v>
      </c>
      <c r="D13" s="12" t="s">
        <v>715</v>
      </c>
      <c r="E13" s="17" t="s">
        <v>716</v>
      </c>
    </row>
    <row r="14" spans="1:30" ht="14.25" x14ac:dyDescent="0.2">
      <c r="A14" s="19">
        <v>1</v>
      </c>
      <c r="B14" s="19">
        <v>2</v>
      </c>
      <c r="C14" s="19">
        <v>3</v>
      </c>
      <c r="D14" s="19">
        <v>4</v>
      </c>
      <c r="E14" s="20">
        <v>5</v>
      </c>
    </row>
    <row r="15" spans="1:30" ht="16.5" x14ac:dyDescent="0.25">
      <c r="A15" s="89" t="str">
        <f>CONCATENATE("Раздел: ", Source!G24)</f>
        <v>Раздел: 1.  ул. Черняховского, д.14А</v>
      </c>
      <c r="B15" s="89"/>
      <c r="C15" s="89"/>
      <c r="D15" s="89"/>
      <c r="E15" s="89"/>
    </row>
    <row r="16" spans="1:30" ht="16.5" x14ac:dyDescent="0.25">
      <c r="A16" s="89" t="str">
        <f>CONCATENATE("Подраздел: ", Source!G28)</f>
        <v>Подраздел: Расчистка территории</v>
      </c>
      <c r="B16" s="89"/>
      <c r="C16" s="89"/>
      <c r="D16" s="89"/>
      <c r="E16" s="89"/>
    </row>
    <row r="17" spans="1:5" ht="28.5" x14ac:dyDescent="0.2">
      <c r="A17" s="25" t="str">
        <f>Source!E32</f>
        <v>1</v>
      </c>
      <c r="B17" s="26" t="str">
        <f>Source!G32</f>
        <v>Валка деревьев в городских условиях: (ель, пихта, береза, лиственница, ольха) диаметром до 300 мм</v>
      </c>
      <c r="C17" s="27" t="str">
        <f>Source!H32</f>
        <v>1 складочный м3 кряжей</v>
      </c>
      <c r="D17" s="28">
        <f>Source!I32</f>
        <v>13.41</v>
      </c>
      <c r="E17" s="26"/>
    </row>
    <row r="18" spans="1:5" ht="14.25" x14ac:dyDescent="0.2">
      <c r="A18" s="25" t="str">
        <f>Source!E33</f>
        <v>2</v>
      </c>
      <c r="B18" s="26" t="str">
        <f>Source!G33</f>
        <v>Корчевка вручную пней диаметром: от 260 до 300 мм</v>
      </c>
      <c r="C18" s="27" t="str">
        <f>Source!H33</f>
        <v>100 пней</v>
      </c>
      <c r="D18" s="28">
        <f>Source!I33</f>
        <v>0.09</v>
      </c>
      <c r="E18" s="26"/>
    </row>
    <row r="19" spans="1:5" ht="28.5" x14ac:dyDescent="0.2">
      <c r="A19" s="25" t="str">
        <f>Source!E34</f>
        <v>3</v>
      </c>
      <c r="B19" s="26" t="str">
        <f>Source!G34</f>
        <v>Погрузочные работы при автомобильных перевозках: леса пиленого, погонажа плотничный, шпал</v>
      </c>
      <c r="C19" s="27" t="str">
        <f>Source!H34</f>
        <v>1 Т ГРУЗА</v>
      </c>
      <c r="D19" s="28">
        <f>Source!I34</f>
        <v>8.0459999999999994</v>
      </c>
      <c r="E19" s="26"/>
    </row>
    <row r="20" spans="1:5" ht="28.5" x14ac:dyDescent="0.2">
      <c r="A20" s="25" t="str">
        <f>Source!E35</f>
        <v>4</v>
      </c>
      <c r="B20" s="26" t="str">
        <f>Source!G35</f>
        <v>Перевозка грузов автомобилями-самосвалами грузоподъемностью 10 т, работающих вне карьера, на расстояние: до 30 км I класс груза</v>
      </c>
      <c r="C20" s="27" t="str">
        <f>Source!H35</f>
        <v>1 Т ГРУЗА</v>
      </c>
      <c r="D20" s="28">
        <f>Source!I35</f>
        <v>8.0459999999999994</v>
      </c>
      <c r="E20" s="26"/>
    </row>
    <row r="21" spans="1:5" ht="42.75" x14ac:dyDescent="0.2">
      <c r="A21" s="25" t="str">
        <f>Source!E36</f>
        <v>5</v>
      </c>
      <c r="B21" s="26" t="str">
        <f>Source!G36</f>
        <v>Разборка горизонтальных поверхностей бетонных конструкций при помощи отбойных молотков, бетон марки: 100 (бетонное основание скамеек)</v>
      </c>
      <c r="C21" s="27" t="str">
        <f>Source!H36</f>
        <v>1 м3 бетона</v>
      </c>
      <c r="D21" s="28">
        <f>Source!I36</f>
        <v>1.28</v>
      </c>
      <c r="E21" s="26"/>
    </row>
    <row r="22" spans="1:5" ht="28.5" x14ac:dyDescent="0.2">
      <c r="A22" s="25" t="str">
        <f>Source!E37</f>
        <v>6</v>
      </c>
      <c r="B22" s="26" t="str">
        <f>Source!G37</f>
        <v>Разработка грунта с погрузкой на автомобили-самосвалы экскаваторами с ковшом вместимостью: 0,65 (0,5-1) м3, группа грунтов 2</v>
      </c>
      <c r="C22" s="27" t="str">
        <f>Source!H37</f>
        <v>1000 м3 грунта</v>
      </c>
      <c r="D22" s="28">
        <f>Source!I37</f>
        <v>0.42580000000000001</v>
      </c>
      <c r="E22" s="26"/>
    </row>
    <row r="23" spans="1:5" ht="28.5" x14ac:dyDescent="0.2">
      <c r="A23" s="25" t="str">
        <f>Source!E38</f>
        <v>7</v>
      </c>
      <c r="B23" s="26" t="str">
        <f>Source!G38</f>
        <v>Перевозка грузов автомобилями-самосвалами грузоподъемностью 10 т, работающих вне карьера, на расстояние: до 5 км I класс груза</v>
      </c>
      <c r="C23" s="27" t="str">
        <f>Source!H38</f>
        <v>1 Т ГРУЗА</v>
      </c>
      <c r="D23" s="28">
        <f>Source!I38</f>
        <v>638.70000000000005</v>
      </c>
      <c r="E23" s="26"/>
    </row>
    <row r="24" spans="1:5" ht="57" x14ac:dyDescent="0.2">
      <c r="A24" s="25" t="str">
        <f>Source!E39</f>
        <v>8</v>
      </c>
      <c r="B24" s="26" t="str">
        <f>Source!G39</f>
        <v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толщина: до 10 см</v>
      </c>
      <c r="C24" s="27" t="str">
        <f>Source!H39</f>
        <v>100 М2 АСФАЛЬТОБЕТОННОГО ПОКРЫТИЯ</v>
      </c>
      <c r="D24" s="28">
        <f>Source!I39</f>
        <v>23.406700000000001</v>
      </c>
      <c r="E24" s="26"/>
    </row>
    <row r="25" spans="1:5" ht="14.25" x14ac:dyDescent="0.2">
      <c r="A25" s="25" t="str">
        <f>Source!E40</f>
        <v>9</v>
      </c>
      <c r="B25" s="26" t="str">
        <f>Source!G40</f>
        <v>Разборка бортовых камней: на бетонном основании</v>
      </c>
      <c r="C25" s="27" t="str">
        <f>Source!H40</f>
        <v>100 м</v>
      </c>
      <c r="D25" s="28">
        <f>Source!I40</f>
        <v>4.3730000000000002</v>
      </c>
      <c r="E25" s="26"/>
    </row>
    <row r="26" spans="1:5" ht="28.5" x14ac:dyDescent="0.2">
      <c r="A26" s="25" t="str">
        <f>Source!E41</f>
        <v>10</v>
      </c>
      <c r="B26" s="26" t="str">
        <f>Source!G41</f>
        <v>Погрузочные работы при автомобильных перевозках: мусора строительного с погрузкой экскаваторами емкостью ковша до 0,5 м3</v>
      </c>
      <c r="C26" s="27" t="str">
        <f>Source!H41</f>
        <v>1 Т ГРУЗА</v>
      </c>
      <c r="D26" s="28">
        <f>Source!I41</f>
        <v>46.712899999999998</v>
      </c>
      <c r="E26" s="26"/>
    </row>
    <row r="27" spans="1:5" ht="28.5" x14ac:dyDescent="0.2">
      <c r="A27" s="25" t="str">
        <f>Source!E42</f>
        <v>11</v>
      </c>
      <c r="B27" s="26" t="str">
        <f>Source!G42</f>
        <v>Перевозка грузов автомобилями-самосвалами грузоподъемностью 10 т, работающих вне карьера, на расстояние: до 8 км I класс груза</v>
      </c>
      <c r="C27" s="27" t="str">
        <f>Source!H42</f>
        <v>1 Т ГРУЗА</v>
      </c>
      <c r="D27" s="28">
        <f>Source!I42</f>
        <v>10.2989</v>
      </c>
      <c r="E27" s="26"/>
    </row>
    <row r="28" spans="1:5" ht="28.5" x14ac:dyDescent="0.2">
      <c r="A28" s="25" t="str">
        <f>Source!E43</f>
        <v>12</v>
      </c>
      <c r="B28" s="26" t="str">
        <f>Source!G43</f>
        <v>Перевозка грузов автомобилями-самосвалами грузоподъемностью 10 т, работающих вне карьера, на расстояние: до 30 км I класс груза</v>
      </c>
      <c r="C28" s="27" t="str">
        <f>Source!H43</f>
        <v>1 Т ГРУЗА</v>
      </c>
      <c r="D28" s="28">
        <f>Source!I43</f>
        <v>46.712899999999998</v>
      </c>
      <c r="E28" s="26"/>
    </row>
    <row r="29" spans="1:5" ht="16.5" x14ac:dyDescent="0.25">
      <c r="A29" s="89" t="str">
        <f>CONCATENATE("Подраздел: ", Source!G75)</f>
        <v>Подраздел: Дворовой проезд</v>
      </c>
      <c r="B29" s="89"/>
      <c r="C29" s="89"/>
      <c r="D29" s="89"/>
      <c r="E29" s="89"/>
    </row>
    <row r="30" spans="1:5" ht="16.5" x14ac:dyDescent="0.25">
      <c r="A30" s="89" t="str">
        <f>CONCATENATE("Подраздел: ", Source!G109)</f>
        <v>Подраздел: Асфальт S=2881,3м2</v>
      </c>
      <c r="B30" s="89"/>
      <c r="C30" s="89"/>
      <c r="D30" s="89"/>
      <c r="E30" s="89"/>
    </row>
    <row r="31" spans="1:5" ht="57" x14ac:dyDescent="0.2">
      <c r="A31" s="25" t="str">
        <f>Source!E113</f>
        <v>13</v>
      </c>
      <c r="B31" s="26" t="str">
        <f>Source!G113</f>
        <v>Устройство подстилающих и выравнивающих слоев оснований: из песка</v>
      </c>
      <c r="C31" s="27" t="str">
        <f>Source!H113</f>
        <v>100 м3 материала основания (в плотном теле)</v>
      </c>
      <c r="D31" s="28">
        <f>Source!I113</f>
        <v>0.54059999999999997</v>
      </c>
      <c r="E31" s="26"/>
    </row>
    <row r="32" spans="1:5" ht="14.25" x14ac:dyDescent="0.2">
      <c r="A32" s="25" t="str">
        <f>Source!E114</f>
        <v>13,1</v>
      </c>
      <c r="B32" s="26" t="str">
        <f>Source!G114</f>
        <v>Песок природный для строительных работ средний</v>
      </c>
      <c r="C32" s="27" t="str">
        <f>Source!H114</f>
        <v>м3</v>
      </c>
      <c r="D32" s="28">
        <f>Source!I114</f>
        <v>59.466000000000001</v>
      </c>
      <c r="E32" s="26"/>
    </row>
    <row r="33" spans="1:5" ht="57" x14ac:dyDescent="0.2">
      <c r="A33" s="25" t="str">
        <f>Source!E115</f>
        <v>14</v>
      </c>
      <c r="B33" s="26" t="str">
        <f>Source!G115</f>
        <v>Устройство подстилающих и выравнивающих слоев оснований: из щебня</v>
      </c>
      <c r="C33" s="27" t="str">
        <f>Source!H115</f>
        <v>100 м3 материала основания (в плотном теле)</v>
      </c>
      <c r="D33" s="28">
        <f>Source!I115</f>
        <v>0.32440000000000002</v>
      </c>
      <c r="E33" s="26"/>
    </row>
    <row r="34" spans="1:5" ht="28.5" x14ac:dyDescent="0.2">
      <c r="A34" s="25" t="str">
        <f>Source!E116</f>
        <v>14,1</v>
      </c>
      <c r="B34" s="26" t="str">
        <f>Source!G116</f>
        <v>Щебень из природного камня для строительных работ марка 600, фракция 5 (3)-20 мм</v>
      </c>
      <c r="C34" s="27" t="str">
        <f>Source!H116</f>
        <v>м3</v>
      </c>
      <c r="D34" s="28">
        <f>Source!I116</f>
        <v>40.874400000000001</v>
      </c>
      <c r="E34" s="26"/>
    </row>
    <row r="35" spans="1:5" ht="57" x14ac:dyDescent="0.2">
      <c r="A35" s="25" t="str">
        <f>Source!E117</f>
        <v>15</v>
      </c>
      <c r="B35" s="26" t="str">
        <f>Source!G117</f>
        <v>Устройство подстилающих и выравнивающих слоев оснований: из асфальтогранулята</v>
      </c>
      <c r="C35" s="27" t="str">
        <f>Source!H117</f>
        <v>100 м3 материала основания (в плотном теле)</v>
      </c>
      <c r="D35" s="28">
        <f>Source!I117</f>
        <v>1.4044000000000001</v>
      </c>
      <c r="E35" s="26"/>
    </row>
    <row r="36" spans="1:5" ht="14.25" x14ac:dyDescent="0.2">
      <c r="A36" s="25" t="str">
        <f>Source!E118</f>
        <v>16</v>
      </c>
      <c r="B36" s="26" t="str">
        <f>Source!G118</f>
        <v>Розлив вяжущих материалов</v>
      </c>
      <c r="C36" s="27" t="str">
        <f>Source!H118</f>
        <v>1 Т</v>
      </c>
      <c r="D36" s="28">
        <f>Source!I118</f>
        <v>1.4407000000000001</v>
      </c>
      <c r="E36" s="26"/>
    </row>
    <row r="37" spans="1:5" ht="42.75" x14ac:dyDescent="0.2">
      <c r="A37" s="25" t="str">
        <f>Source!E119</f>
        <v>17</v>
      </c>
      <c r="B37" s="26" t="str">
        <f>Source!G119</f>
        <v>Устройство покрытия толщиной 4 см (5см)  из горячих асфальтобетонных смесей пористых мелкозернистых, плотность каменных материалов: 2,5-2,9 т/м3</v>
      </c>
      <c r="C37" s="27" t="str">
        <f>Source!H119</f>
        <v>1000 м2 покрытия</v>
      </c>
      <c r="D37" s="28">
        <f>Source!I119</f>
        <v>2.8813</v>
      </c>
      <c r="E37" s="26"/>
    </row>
    <row r="38" spans="1:5" ht="28.5" x14ac:dyDescent="0.2">
      <c r="A38" s="25" t="str">
        <f>Source!E120</f>
        <v>18</v>
      </c>
      <c r="B38" s="26" t="str">
        <f>Source!G120</f>
        <v>На каждые 0,5 см изменения толщины покрытия добавлять или исключать: к расценке 27-06-020-08</v>
      </c>
      <c r="C38" s="27" t="str">
        <f>Source!H120</f>
        <v>1000 м2 покрытия</v>
      </c>
      <c r="D38" s="28">
        <f>Source!I120</f>
        <v>2.8813</v>
      </c>
      <c r="E38" s="26"/>
    </row>
    <row r="39" spans="1:5" ht="14.25" x14ac:dyDescent="0.2">
      <c r="A39" s="25" t="str">
        <f>Source!E121</f>
        <v>19</v>
      </c>
      <c r="B39" s="26" t="str">
        <f>Source!G121</f>
        <v>Розлив вяжущих материалов</v>
      </c>
      <c r="C39" s="27" t="str">
        <f>Source!H121</f>
        <v>1 Т</v>
      </c>
      <c r="D39" s="28">
        <f>Source!I121</f>
        <v>0.86439999999999995</v>
      </c>
      <c r="E39" s="26"/>
    </row>
    <row r="40" spans="1:5" ht="42.75" x14ac:dyDescent="0.2">
      <c r="A40" s="25" t="str">
        <f>Source!E122</f>
        <v>20</v>
      </c>
      <c r="B40" s="26" t="str">
        <f>Source!G122</f>
        <v>Устройство покрытия толщиной 4 см (5см ) из горячих асфальтобетонных смесей плотных мелкозернистых типа АБВ, плотность каменных материалов: 2,5-2,9 т/м3</v>
      </c>
      <c r="C40" s="27" t="str">
        <f>Source!H122</f>
        <v>1000 м2 покрытия</v>
      </c>
      <c r="D40" s="28">
        <f>Source!I122</f>
        <v>2.8813</v>
      </c>
      <c r="E40" s="26"/>
    </row>
    <row r="41" spans="1:5" ht="42.75" x14ac:dyDescent="0.2">
      <c r="A41" s="25"/>
      <c r="B41" s="26" t="str">
        <f>Source!G124</f>
        <v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v>
      </c>
      <c r="C41" s="27" t="str">
        <f>Source!H124</f>
        <v>т</v>
      </c>
      <c r="D41" s="28">
        <f>Source!I124</f>
        <v>278.33357999999998</v>
      </c>
      <c r="E41" s="26"/>
    </row>
    <row r="42" spans="1:5" ht="28.5" x14ac:dyDescent="0.2">
      <c r="A42" s="25" t="str">
        <f>Source!E125</f>
        <v>21</v>
      </c>
      <c r="B42" s="26" t="str">
        <f>Source!G125</f>
        <v>На каждые 0,5 см изменения толщины покрытия добавлять или исключать: к расценке 27-06-020-01</v>
      </c>
      <c r="C42" s="27" t="str">
        <f>Source!H125</f>
        <v>1000 м2 покрытия</v>
      </c>
      <c r="D42" s="28">
        <f>Source!I125</f>
        <v>2.8813</v>
      </c>
      <c r="E42" s="26"/>
    </row>
    <row r="43" spans="1:5" ht="42.75" x14ac:dyDescent="0.2">
      <c r="A43" s="25"/>
      <c r="B43" s="26" t="str">
        <f>Source!G127</f>
        <v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В</v>
      </c>
      <c r="C43" s="27" t="str">
        <f>Source!H127</f>
        <v>т</v>
      </c>
      <c r="D43" s="28">
        <f>Source!I127</f>
        <v>69.727459999999994</v>
      </c>
      <c r="E43" s="26"/>
    </row>
    <row r="44" spans="1:5" ht="16.5" x14ac:dyDescent="0.25">
      <c r="A44" s="89" t="str">
        <f>CONCATENATE("Подраздел: ", Source!G159)</f>
        <v>Подраздел: Установка бортовых камней БК 100.30.15 - 431м</v>
      </c>
      <c r="B44" s="89"/>
      <c r="C44" s="89"/>
      <c r="D44" s="89"/>
      <c r="E44" s="89"/>
    </row>
    <row r="45" spans="1:5" ht="28.5" x14ac:dyDescent="0.2">
      <c r="A45" s="25" t="str">
        <f>Source!E163</f>
        <v>22</v>
      </c>
      <c r="B45" s="26" t="str">
        <f>Source!G163</f>
        <v>Разработка грунта вручную в траншеях глубиной до 2 м без креплений с откосами, группа грунтов: 2</v>
      </c>
      <c r="C45" s="27" t="str">
        <f>Source!H163</f>
        <v>100 м3 грунта</v>
      </c>
      <c r="D45" s="28">
        <f>Source!I163</f>
        <v>0.38790000000000002</v>
      </c>
      <c r="E45" s="26"/>
    </row>
    <row r="46" spans="1:5" ht="57" x14ac:dyDescent="0.2">
      <c r="A46" s="25" t="str">
        <f>Source!E164</f>
        <v>23</v>
      </c>
      <c r="B46" s="26" t="str">
        <f>Source!G164</f>
        <v>Устройство подстилающих и выравнивающих слоев оснований: из щебня</v>
      </c>
      <c r="C46" s="27" t="str">
        <f>Source!H164</f>
        <v>100 м3 материала основания (в плотном теле)</v>
      </c>
      <c r="D46" s="28">
        <f>Source!I164</f>
        <v>7.7600000000000002E-2</v>
      </c>
      <c r="E46" s="26"/>
    </row>
    <row r="47" spans="1:5" ht="28.5" x14ac:dyDescent="0.2">
      <c r="A47" s="25"/>
      <c r="B47" s="26" t="str">
        <f>Source!G165</f>
        <v>Щебень из природного камня для строительных работ марка 600, фракция 5 (3)-20 мм</v>
      </c>
      <c r="C47" s="27" t="str">
        <f>Source!H165</f>
        <v>м3</v>
      </c>
      <c r="D47" s="28">
        <f>Source!I165</f>
        <v>9.7775999999999996</v>
      </c>
      <c r="E47" s="26"/>
    </row>
    <row r="48" spans="1:5" ht="42.75" x14ac:dyDescent="0.2">
      <c r="A48" s="25" t="str">
        <f>Source!E166</f>
        <v>24</v>
      </c>
      <c r="B48" s="26" t="str">
        <f>Source!G166</f>
        <v>Установка бортовых камней бетонных: при других видах покрытий</v>
      </c>
      <c r="C48" s="27" t="str">
        <f>Source!H166</f>
        <v>100 м бортового камня</v>
      </c>
      <c r="D48" s="28">
        <f>Source!I166</f>
        <v>4.3099999999999996</v>
      </c>
      <c r="E48" s="26"/>
    </row>
    <row r="49" spans="1:5" ht="28.5" x14ac:dyDescent="0.2">
      <c r="A49" s="25"/>
      <c r="B49" s="26" t="str">
        <f>Source!G167</f>
        <v>Камни бортовые БР 100.30.15 /бетон В30 (М400), объем 0,043 м3/ (ГОСТ 6665-91)</v>
      </c>
      <c r="C49" s="27" t="str">
        <f>Source!H167</f>
        <v>шт.</v>
      </c>
      <c r="D49" s="28">
        <f>Source!I167</f>
        <v>431</v>
      </c>
      <c r="E49" s="26"/>
    </row>
    <row r="50" spans="1:5" ht="14.25" x14ac:dyDescent="0.2">
      <c r="A50" s="25" t="str">
        <f>Source!E168</f>
        <v>25</v>
      </c>
      <c r="B50" s="26" t="str">
        <f>Source!G168</f>
        <v>Засыпка вручную траншей, пазух котлованов и ям, группа грунтов: 1</v>
      </c>
      <c r="C50" s="27" t="str">
        <f>Source!H168</f>
        <v>100 м3 грунта</v>
      </c>
      <c r="D50" s="28">
        <f>Source!I168</f>
        <v>7.7600000000000002E-2</v>
      </c>
      <c r="E50" s="26"/>
    </row>
    <row r="51" spans="1:5" ht="28.5" x14ac:dyDescent="0.2">
      <c r="A51" s="25" t="str">
        <f>Source!E169</f>
        <v>26</v>
      </c>
      <c r="B51" s="26" t="str">
        <f>Source!G169</f>
        <v>Погрузочные работы при автомобильных перевозках: грунта растительного слоя (земля, перегной)</v>
      </c>
      <c r="C51" s="27" t="str">
        <f>Source!H169</f>
        <v>1 Т ГРУЗА</v>
      </c>
      <c r="D51" s="28">
        <f>Source!I169</f>
        <v>46.545000000000002</v>
      </c>
      <c r="E51" s="26"/>
    </row>
    <row r="52" spans="1:5" ht="28.5" x14ac:dyDescent="0.2">
      <c r="A52" s="25" t="str">
        <f>Source!E170</f>
        <v>27</v>
      </c>
      <c r="B52" s="26" t="str">
        <f>Source!G170</f>
        <v>Перевозка грузов автомобилями-самосвалами грузоподъемностью 10 т, работающих вне карьера, на расстояние: до 5 км I класс груза</v>
      </c>
      <c r="C52" s="27" t="str">
        <f>Source!H170</f>
        <v>1 Т ГРУЗА</v>
      </c>
      <c r="D52" s="28">
        <f>Source!I170</f>
        <v>46.545000000000002</v>
      </c>
      <c r="E52" s="26"/>
    </row>
    <row r="53" spans="1:5" ht="16.5" x14ac:dyDescent="0.25">
      <c r="A53" s="89" t="str">
        <f>CONCATENATE("Подраздел: ", Source!G202)</f>
        <v>Подраздел: Установка бортовых камней БК 100.20.8 -365,4м</v>
      </c>
      <c r="B53" s="89"/>
      <c r="C53" s="89"/>
      <c r="D53" s="89"/>
      <c r="E53" s="89"/>
    </row>
    <row r="54" spans="1:5" ht="28.5" x14ac:dyDescent="0.2">
      <c r="A54" s="25" t="str">
        <f>Source!E206</f>
        <v>28</v>
      </c>
      <c r="B54" s="26" t="str">
        <f>Source!G206</f>
        <v>Разработка грунта вручную в траншеях глубиной до 2 м без креплений с откосами, группа грунтов: 2</v>
      </c>
      <c r="C54" s="27" t="str">
        <f>Source!H206</f>
        <v>100 м3 грунта</v>
      </c>
      <c r="D54" s="28">
        <f>Source!I206</f>
        <v>0.32890000000000003</v>
      </c>
      <c r="E54" s="26"/>
    </row>
    <row r="55" spans="1:5" ht="57" x14ac:dyDescent="0.2">
      <c r="A55" s="25" t="str">
        <f>Source!E207</f>
        <v>29</v>
      </c>
      <c r="B55" s="26" t="str">
        <f>Source!G207</f>
        <v>Устройство подстилающих и выравнивающих слоев оснований: из щебня</v>
      </c>
      <c r="C55" s="27" t="str">
        <f>Source!H207</f>
        <v>100 м3 материала основания (в плотном теле)</v>
      </c>
      <c r="D55" s="28">
        <f>Source!I207</f>
        <v>2.92E-2</v>
      </c>
      <c r="E55" s="26"/>
    </row>
    <row r="56" spans="1:5" ht="28.5" x14ac:dyDescent="0.2">
      <c r="A56" s="25" t="str">
        <f>Source!E208</f>
        <v>29,1</v>
      </c>
      <c r="B56" s="26" t="str">
        <f>Source!G208</f>
        <v>Щебень из природного камня для строительных работ марка 600, фракция 5 (3)-20 мм</v>
      </c>
      <c r="C56" s="27" t="str">
        <f>Source!H208</f>
        <v>м3</v>
      </c>
      <c r="D56" s="28">
        <f>Source!I208</f>
        <v>3.6791999999999998</v>
      </c>
      <c r="E56" s="26"/>
    </row>
    <row r="57" spans="1:5" ht="42.75" x14ac:dyDescent="0.2">
      <c r="A57" s="25" t="str">
        <f>Source!E209</f>
        <v>30</v>
      </c>
      <c r="B57" s="26" t="str">
        <f>Source!G209</f>
        <v>Установка бортовых камней бетонных: при других видах покрытий</v>
      </c>
      <c r="C57" s="27" t="str">
        <f>Source!H209</f>
        <v>100 м бортового камня</v>
      </c>
      <c r="D57" s="28">
        <f>Source!I209</f>
        <v>3.6539999999999999</v>
      </c>
      <c r="E57" s="26"/>
    </row>
    <row r="58" spans="1:5" ht="28.5" x14ac:dyDescent="0.2">
      <c r="A58" s="25"/>
      <c r="B58" s="26" t="str">
        <f>Source!G210</f>
        <v>Камни бортовые БР 100.20.8 /бетон В22,5 (М300), объем 0,016 м3/ (ГОСТ 6665-91)</v>
      </c>
      <c r="C58" s="27" t="str">
        <f>Source!H210</f>
        <v>шт.</v>
      </c>
      <c r="D58" s="28">
        <f>Source!I210</f>
        <v>365.4</v>
      </c>
      <c r="E58" s="26"/>
    </row>
    <row r="59" spans="1:5" ht="14.25" x14ac:dyDescent="0.2">
      <c r="A59" s="25"/>
      <c r="B59" s="26" t="str">
        <f>Source!G212</f>
        <v>Бетон тяжелый, класс В15 (М200)</v>
      </c>
      <c r="C59" s="27" t="str">
        <f>Source!H212</f>
        <v>м3</v>
      </c>
      <c r="D59" s="28">
        <f>Source!I212</f>
        <v>18.540396000000001</v>
      </c>
      <c r="E59" s="26"/>
    </row>
    <row r="60" spans="1:5" ht="14.25" x14ac:dyDescent="0.2">
      <c r="A60" s="25"/>
      <c r="B60" s="26" t="str">
        <f>Source!G214</f>
        <v>Раствор готовый кладочный цементный марки 100</v>
      </c>
      <c r="C60" s="27" t="str">
        <f>Source!H214</f>
        <v>м3</v>
      </c>
      <c r="D60" s="28">
        <f>Source!I214</f>
        <v>7.2348999999999997E-2</v>
      </c>
      <c r="E60" s="26"/>
    </row>
    <row r="61" spans="1:5" ht="14.25" x14ac:dyDescent="0.2">
      <c r="A61" s="25" t="str">
        <f>Source!E215</f>
        <v>31</v>
      </c>
      <c r="B61" s="26" t="str">
        <f>Source!G215</f>
        <v>Засыпка вручную траншей, пазух котлованов и ям, группа грунтов: 1</v>
      </c>
      <c r="C61" s="27" t="str">
        <f>Source!H215</f>
        <v>100 м3 грунта</v>
      </c>
      <c r="D61" s="28">
        <f>Source!I215</f>
        <v>3.2199999999999999E-2</v>
      </c>
      <c r="E61" s="26"/>
    </row>
    <row r="62" spans="1:5" ht="28.5" x14ac:dyDescent="0.2">
      <c r="A62" s="25" t="str">
        <f>Source!E216</f>
        <v>32</v>
      </c>
      <c r="B62" s="26" t="str">
        <f>Source!G216</f>
        <v>Погрузочные работы при автомобильных перевозках: грунта растительного слоя (земля, перегной)</v>
      </c>
      <c r="C62" s="27" t="str">
        <f>Source!H216</f>
        <v>1 Т ГРУЗА</v>
      </c>
      <c r="D62" s="28">
        <f>Source!I216</f>
        <v>44.505000000000003</v>
      </c>
      <c r="E62" s="26"/>
    </row>
    <row r="63" spans="1:5" ht="28.5" x14ac:dyDescent="0.2">
      <c r="A63" s="25" t="str">
        <f>Source!E217</f>
        <v>33</v>
      </c>
      <c r="B63" s="26" t="str">
        <f>Source!G217</f>
        <v>Перевозка грузов автомобилями-самосвалами грузоподъемностью 10 т, работающих вне карьера, на расстояние: до 5 км I класс груза</v>
      </c>
      <c r="C63" s="27" t="str">
        <f>Source!H217</f>
        <v>1 Т ГРУЗА</v>
      </c>
      <c r="D63" s="28">
        <f>Source!I217</f>
        <v>44.505000000000003</v>
      </c>
      <c r="E63" s="26"/>
    </row>
    <row r="64" spans="1:5" ht="16.5" x14ac:dyDescent="0.25">
      <c r="A64" s="89" t="str">
        <f>CONCATENATE("Подраздел: ", Source!G249)</f>
        <v>Подраздел: Устройство тротуаров и пешеходных дорожек из брусчатки</v>
      </c>
      <c r="B64" s="89"/>
      <c r="C64" s="89"/>
      <c r="D64" s="89"/>
      <c r="E64" s="89"/>
    </row>
    <row r="65" spans="1:5" ht="57" x14ac:dyDescent="0.2">
      <c r="A65" s="25" t="str">
        <f>Source!E253</f>
        <v>34</v>
      </c>
      <c r="B65" s="26" t="str">
        <f>Source!G253</f>
        <v>Устройство подстилающих и выравнивающих слоев оснований: из щебня</v>
      </c>
      <c r="C65" s="27" t="str">
        <f>Source!H253</f>
        <v>100 м3 материала основания (в плотном теле)</v>
      </c>
      <c r="D65" s="28">
        <f>Source!I253</f>
        <v>0.37669999999999998</v>
      </c>
      <c r="E65" s="26"/>
    </row>
    <row r="66" spans="1:5" ht="28.5" x14ac:dyDescent="0.2">
      <c r="A66" s="25"/>
      <c r="B66" s="26" t="str">
        <f>Source!G254</f>
        <v>Щебень из природного камня для строительных работ марка 600, фракция 5 (3)-20 мм</v>
      </c>
      <c r="C66" s="27" t="str">
        <f>Source!H254</f>
        <v>м3</v>
      </c>
      <c r="D66" s="28">
        <f>Source!I254</f>
        <v>47.464199999999998</v>
      </c>
      <c r="E66" s="26"/>
    </row>
    <row r="67" spans="1:5" ht="57" x14ac:dyDescent="0.2">
      <c r="A67" s="25" t="str">
        <f>Source!E255</f>
        <v>35</v>
      </c>
      <c r="B67" s="26" t="str">
        <f>Source!G255</f>
        <v>Устройство подстилающих и выравнивающих слоев оснований: из песка</v>
      </c>
      <c r="C67" s="27" t="str">
        <f>Source!H255</f>
        <v>100 м3 материала основания (в плотном теле)</v>
      </c>
      <c r="D67" s="28">
        <f>Source!I255</f>
        <v>0.37669999999999998</v>
      </c>
      <c r="E67" s="26"/>
    </row>
    <row r="68" spans="1:5" ht="14.25" x14ac:dyDescent="0.2">
      <c r="A68" s="25"/>
      <c r="B68" s="26" t="str">
        <f>Source!G256</f>
        <v>Песок природный для строительных работ средний</v>
      </c>
      <c r="C68" s="27" t="str">
        <f>Source!H256</f>
        <v>м3</v>
      </c>
      <c r="D68" s="28">
        <f>Source!I256</f>
        <v>41.436999999999998</v>
      </c>
      <c r="E68" s="26"/>
    </row>
    <row r="69" spans="1:5" ht="28.5" x14ac:dyDescent="0.2">
      <c r="A69" s="25" t="str">
        <f>Source!E257</f>
        <v>36</v>
      </c>
      <c r="B69" s="26" t="str">
        <f>Source!G257</f>
        <v>Устройство прослойки из нетканого синтетического материала (НСМ) в земляном полотне: сплошной</v>
      </c>
      <c r="C69" s="27" t="str">
        <f>Source!H257</f>
        <v>1000 м2 поверхности</v>
      </c>
      <c r="D69" s="28">
        <f>Source!I257</f>
        <v>0.37669999999999998</v>
      </c>
      <c r="E69" s="26"/>
    </row>
    <row r="70" spans="1:5" ht="14.25" x14ac:dyDescent="0.2">
      <c r="A70" s="25"/>
      <c r="B70" s="26" t="str">
        <f>Source!G258</f>
        <v>Нетканый геотекстиль Геотекс 150</v>
      </c>
      <c r="C70" s="27" t="str">
        <f>Source!H258</f>
        <v>м2</v>
      </c>
      <c r="D70" s="28">
        <f>Source!I258</f>
        <v>376.7</v>
      </c>
      <c r="E70" s="26"/>
    </row>
    <row r="71" spans="1:5" ht="28.5" x14ac:dyDescent="0.2">
      <c r="A71" s="25" t="str">
        <f>Source!E259</f>
        <v>37</v>
      </c>
      <c r="B71" s="26" t="str">
        <f>Source!G259</f>
        <v>Устройство бетонных плитных тротуаров с заполнением швов: песком</v>
      </c>
      <c r="C71" s="27" t="str">
        <f>Source!H259</f>
        <v>100 м2 тротуара</v>
      </c>
      <c r="D71" s="28">
        <f>Source!I259</f>
        <v>3.7671999999999999</v>
      </c>
      <c r="E71" s="26"/>
    </row>
    <row r="72" spans="1:5" ht="14.25" x14ac:dyDescent="0.2">
      <c r="A72" s="25"/>
      <c r="B72" s="26" t="str">
        <f>Source!G261</f>
        <v>Плитка тротуарная декоративная (брусчатка) , толщина 60 мм, серая</v>
      </c>
      <c r="C72" s="27" t="str">
        <f>Source!H261</f>
        <v>м2</v>
      </c>
      <c r="D72" s="28">
        <f>Source!I261</f>
        <v>376.72</v>
      </c>
      <c r="E72" s="26"/>
    </row>
    <row r="73" spans="1:5" ht="16.5" x14ac:dyDescent="0.25">
      <c r="A73" s="89" t="str">
        <f>CONCATENATE("Подраздел: ", Source!G293)</f>
        <v>Подраздел: Установка урн</v>
      </c>
      <c r="B73" s="89"/>
      <c r="C73" s="89"/>
      <c r="D73" s="89"/>
      <c r="E73" s="89"/>
    </row>
    <row r="74" spans="1:5" ht="28.5" x14ac:dyDescent="0.2">
      <c r="A74" s="25" t="str">
        <f>Source!E297</f>
        <v>38</v>
      </c>
      <c r="B74" s="26" t="str">
        <f>Source!G297</f>
        <v>Копание ям вручную без креплений для стоек и столбов: без откосов глубиной до 0,7 м, группа грунтов 2</v>
      </c>
      <c r="C74" s="27" t="str">
        <f>Source!H297</f>
        <v>100 м3 грунта</v>
      </c>
      <c r="D74" s="28">
        <f>Source!I297</f>
        <v>3.8999999999999998E-3</v>
      </c>
      <c r="E74" s="26"/>
    </row>
    <row r="75" spans="1:5" ht="85.5" x14ac:dyDescent="0.2">
      <c r="A75" s="25" t="str">
        <f>Source!E298</f>
        <v>39</v>
      </c>
      <c r="B75" s="26" t="str">
        <f>Source!G298</f>
        <v>Урна опрокидывающаяся   кованая    Габариты ящика: 300 х 300 х 400 мм   Ящик сварен из стали толщиной 1,5 мм,  фигурные стойки - из квадратной стали  10 х 10  мм,   упоры - из профильной трубы 25х25 мм.  Боковые стенки урны украшены декоративными элементами.  Металлокаркас окрашен краской по металлу  3в1 Hammerite.   Цвет  согласовывается с заказчиком.</v>
      </c>
      <c r="C75" s="27" t="str">
        <f>Source!H298</f>
        <v>ШТ</v>
      </c>
      <c r="D75" s="28">
        <f>Source!I298</f>
        <v>7</v>
      </c>
      <c r="E75" s="26"/>
    </row>
    <row r="76" spans="1:5" ht="57" x14ac:dyDescent="0.2">
      <c r="A76" s="25" t="str">
        <f>Source!E299</f>
        <v>40</v>
      </c>
      <c r="B76" s="26" t="str">
        <f>Source!G299</f>
        <v>Устройство бетонной подготовки</v>
      </c>
      <c r="C76" s="27" t="str">
        <f>Source!H299</f>
        <v>100 м3 бетона, бутобетона и железобетона в деле</v>
      </c>
      <c r="D76" s="28">
        <f>Source!I299</f>
        <v>2E-3</v>
      </c>
      <c r="E76" s="26"/>
    </row>
    <row r="77" spans="1:5" ht="14.25" x14ac:dyDescent="0.2">
      <c r="A77" s="25" t="str">
        <f>Source!E300</f>
        <v>41</v>
      </c>
      <c r="B77" s="26" t="str">
        <f>Source!G300</f>
        <v>Засыпка вручную траншей, пазух котлованов и ям, группа грунтов: 1</v>
      </c>
      <c r="C77" s="27" t="str">
        <f>Source!H300</f>
        <v>100 м3 грунта</v>
      </c>
      <c r="D77" s="28">
        <f>Source!I300</f>
        <v>2E-3</v>
      </c>
      <c r="E77" s="26"/>
    </row>
    <row r="78" spans="1:5" ht="16.5" x14ac:dyDescent="0.25">
      <c r="A78" s="89" t="str">
        <f>CONCATENATE("Подраздел: ", Source!G332)</f>
        <v>Подраздел: Установка скамеек</v>
      </c>
      <c r="B78" s="89"/>
      <c r="C78" s="89"/>
      <c r="D78" s="89"/>
      <c r="E78" s="89"/>
    </row>
    <row r="79" spans="1:5" ht="28.5" x14ac:dyDescent="0.2">
      <c r="A79" s="25" t="str">
        <f>Source!E336</f>
        <v>42</v>
      </c>
      <c r="B79" s="26" t="str">
        <f>Source!G336</f>
        <v>Копание ям вручную без креплений для стоек и столбов: без откосов глубиной до 0,7 м, группа грунтов 2</v>
      </c>
      <c r="C79" s="27" t="str">
        <f>Source!H336</f>
        <v>100 м3 грунта</v>
      </c>
      <c r="D79" s="28">
        <f>Source!I336</f>
        <v>8.0999999999999996E-3</v>
      </c>
      <c r="E79" s="26"/>
    </row>
    <row r="80" spans="1:5" ht="99.75" x14ac:dyDescent="0.2">
      <c r="A80" s="25" t="str">
        <f>Source!E337</f>
        <v>43</v>
      </c>
      <c r="B80" s="26" t="str">
        <f>Source!G337</f>
        <v>Диван парковый   1900х800х800   Длина: 1900 мм; ширина: 800 мм; высота: 800 мм.  Металлокаркас выполнен из профильной трубы  40х25 мм, уголка 40х40 мм, полосы 40 х 4 мм. Сиденье и спинка  из пиломатериала.   Металлокаркас окрашен грунт-эмалью "3 в 1".  Деревянные  элементы  покрыты "Акватексом".   Цвет  согласовывается с потребителем.  Диван  должен устанавливаться на ровную твердую поверхность.</v>
      </c>
      <c r="C80" s="27" t="str">
        <f>Source!H337</f>
        <v>ШТ</v>
      </c>
      <c r="D80" s="28">
        <f>Source!I337</f>
        <v>7</v>
      </c>
      <c r="E80" s="26"/>
    </row>
    <row r="81" spans="1:5" ht="57" x14ac:dyDescent="0.2">
      <c r="A81" s="25" t="str">
        <f>Source!E338</f>
        <v>44</v>
      </c>
      <c r="B81" s="26" t="str">
        <f>Source!G338</f>
        <v>Устройство бетонной подготовки</v>
      </c>
      <c r="C81" s="27" t="str">
        <f>Source!H338</f>
        <v>100 м3 бетона, бутобетона и железобетона в деле</v>
      </c>
      <c r="D81" s="28">
        <f>Source!I338</f>
        <v>4.1000000000000003E-3</v>
      </c>
      <c r="E81" s="26"/>
    </row>
    <row r="82" spans="1:5" ht="14.25" x14ac:dyDescent="0.2">
      <c r="A82" s="25" t="str">
        <f>Source!E339</f>
        <v>45</v>
      </c>
      <c r="B82" s="26" t="str">
        <f>Source!G339</f>
        <v>Засыпка вручную траншей, пазух котлованов и ям, группа грунтов: 1</v>
      </c>
      <c r="C82" s="27" t="str">
        <f>Source!H339</f>
        <v>100 м3 грунта</v>
      </c>
      <c r="D82" s="28">
        <f>Source!I339</f>
        <v>4.1000000000000003E-3</v>
      </c>
      <c r="E82" s="26"/>
    </row>
    <row r="83" spans="1:5" ht="16.5" x14ac:dyDescent="0.25">
      <c r="A83" s="89" t="str">
        <f>CONCATENATE("Раздел: ", Source!G408)</f>
        <v>Раздел: 3. Контейнерная площадка S=23,22м2</v>
      </c>
      <c r="B83" s="89"/>
      <c r="C83" s="89"/>
      <c r="D83" s="89"/>
      <c r="E83" s="89"/>
    </row>
    <row r="84" spans="1:5" ht="28.5" x14ac:dyDescent="0.2">
      <c r="A84" s="25" t="str">
        <f>Source!E412</f>
        <v>46</v>
      </c>
      <c r="B84" s="26" t="str">
        <f>Source!G412</f>
        <v>Разборка покрытий и оснований: асфальтобетонных с помощью молотков отбойных</v>
      </c>
      <c r="C84" s="27" t="str">
        <f>Source!H412</f>
        <v>100 м3 конструкций</v>
      </c>
      <c r="D84" s="28">
        <f>Source!I412</f>
        <v>7.0000000000000007E-2</v>
      </c>
      <c r="E84" s="26"/>
    </row>
    <row r="85" spans="1:5" ht="28.5" x14ac:dyDescent="0.2">
      <c r="A85" s="25" t="str">
        <f>Source!E413</f>
        <v>47</v>
      </c>
      <c r="B85" s="26" t="str">
        <f>Source!G413</f>
        <v>Погрузочные работы при автомобильных перевозках: мусора строительного с погрузкой экскаваторами емкостью ковша до 0,5 м3</v>
      </c>
      <c r="C85" s="27" t="str">
        <f>Source!H413</f>
        <v>1 Т ГРУЗА</v>
      </c>
      <c r="D85" s="28">
        <f>Source!I413</f>
        <v>15.4</v>
      </c>
      <c r="E85" s="26"/>
    </row>
    <row r="86" spans="1:5" ht="28.5" x14ac:dyDescent="0.2">
      <c r="A86" s="25" t="str">
        <f>Source!E414</f>
        <v>48</v>
      </c>
      <c r="B86" s="26" t="str">
        <f>Source!G414</f>
        <v>Перевозка грузов автомобилями-самосвалами грузоподъемностью 10 т, работающих вне карьера, на расстояние: до 5 км I класс груза</v>
      </c>
      <c r="C86" s="27" t="str">
        <f>Source!H414</f>
        <v>1 Т ГРУЗА</v>
      </c>
      <c r="D86" s="28">
        <f>Source!I414</f>
        <v>15.4</v>
      </c>
      <c r="E86" s="26"/>
    </row>
    <row r="87" spans="1:5" ht="57" x14ac:dyDescent="0.2">
      <c r="A87" s="25" t="str">
        <f>Source!E415</f>
        <v>49</v>
      </c>
      <c r="B87" s="26" t="str">
        <f>Source!G415</f>
        <v>Устройство фундаментных плит бетонных плоских</v>
      </c>
      <c r="C87" s="27" t="str">
        <f>Source!H415</f>
        <v>100 м3 бетона, бутобетона и железобетона в деле</v>
      </c>
      <c r="D87" s="28">
        <f>Source!I415</f>
        <v>2.4E-2</v>
      </c>
      <c r="E87" s="26"/>
    </row>
    <row r="88" spans="1:5" ht="14.25" x14ac:dyDescent="0.2">
      <c r="A88" s="25" t="str">
        <f>Source!E416</f>
        <v>50</v>
      </c>
      <c r="B88" s="26" t="str">
        <f>Source!G416</f>
        <v>Армирование подстилающих слоев и набетонок</v>
      </c>
      <c r="C88" s="27" t="str">
        <f>Source!H416</f>
        <v>1 Т</v>
      </c>
      <c r="D88" s="28">
        <f>Source!I416</f>
        <v>0.04</v>
      </c>
      <c r="E88" s="26"/>
    </row>
    <row r="89" spans="1:5" ht="28.5" x14ac:dyDescent="0.2">
      <c r="A89" s="25" t="str">
        <f>Source!E417</f>
        <v>51</v>
      </c>
      <c r="B89" s="26" t="str">
        <f>Source!G417</f>
        <v>Установка металлических столбов высотой до 4 м: на подготовленный бетонный фундамент</v>
      </c>
      <c r="C89" s="27" t="str">
        <f>Source!H417</f>
        <v>100 столбов</v>
      </c>
      <c r="D89" s="28">
        <f>Source!I417</f>
        <v>0.16</v>
      </c>
      <c r="E89" s="26"/>
    </row>
    <row r="90" spans="1:5" ht="14.25" x14ac:dyDescent="0.2">
      <c r="A90" s="25"/>
      <c r="B90" s="26" t="str">
        <f>Source!G418</f>
        <v>Болты анкерные</v>
      </c>
      <c r="C90" s="27" t="str">
        <f>Source!H418</f>
        <v>т</v>
      </c>
      <c r="D90" s="28">
        <f>Source!I418</f>
        <v>8.4799999999999997E-3</v>
      </c>
      <c r="E90" s="26"/>
    </row>
    <row r="91" spans="1:5" ht="28.5" x14ac:dyDescent="0.2">
      <c r="A91" s="25"/>
      <c r="B91" s="26" t="str">
        <f>Source!G419</f>
        <v>Трубы стальные квадратные (ГОСТ 8639-82) размером 40х40 мм, толщина стенки 3 мм</v>
      </c>
      <c r="C91" s="27" t="str">
        <f>Source!H419</f>
        <v>м</v>
      </c>
      <c r="D91" s="28">
        <f>Source!I419</f>
        <v>34.28</v>
      </c>
      <c r="E91" s="26"/>
    </row>
    <row r="92" spans="1:5" ht="28.5" x14ac:dyDescent="0.2">
      <c r="A92" s="25" t="str">
        <f>Source!E420</f>
        <v>52</v>
      </c>
      <c r="B92" s="26" t="str">
        <f>Source!G420</f>
        <v>Устройство заграждений из готовых металлических решетчатых панелей: высотой до 2 м</v>
      </c>
      <c r="C92" s="27" t="str">
        <f>Source!H420</f>
        <v>10 панелей</v>
      </c>
      <c r="D92" s="28">
        <f>Source!I420</f>
        <v>2.6</v>
      </c>
      <c r="E92" s="26"/>
    </row>
    <row r="93" spans="1:5" ht="28.5" x14ac:dyDescent="0.2">
      <c r="A93" s="25" t="str">
        <f>Source!E421</f>
        <v>52,1</v>
      </c>
      <c r="B93" s="26" t="str">
        <f>Source!G421</f>
        <v>Трубы стальные прямоугольные (ГОСТ 8645-86) размером 35х20 мм, толщина стенки 3 мм</v>
      </c>
      <c r="C93" s="27" t="str">
        <f>Source!H421</f>
        <v>м</v>
      </c>
      <c r="D93" s="28">
        <f>Source!I421</f>
        <v>97.5</v>
      </c>
      <c r="E93" s="26"/>
    </row>
    <row r="94" spans="1:5" ht="14.25" x14ac:dyDescent="0.2">
      <c r="A94" s="25"/>
      <c r="B94" s="26" t="str">
        <f>Source!G422</f>
        <v>Профилированный настил окрашенный С21-1000-0,5</v>
      </c>
      <c r="C94" s="27" t="str">
        <f>Source!H422</f>
        <v>т</v>
      </c>
      <c r="D94" s="28">
        <f>Source!I422</f>
        <v>0.27100000000000002</v>
      </c>
      <c r="E94" s="26"/>
    </row>
    <row r="95" spans="1:5" ht="14.25" x14ac:dyDescent="0.2">
      <c r="A95" s="25"/>
      <c r="B95" s="26" t="str">
        <f>Source!G423</f>
        <v>Шурупы самосверлящие (саморезы) SL4-F (SFS) 4,8х16 мм</v>
      </c>
      <c r="C95" s="27" t="str">
        <f>Source!H423</f>
        <v>10 шт.</v>
      </c>
      <c r="D95" s="28">
        <f>Source!I423</f>
        <v>54.2</v>
      </c>
      <c r="E95" s="26"/>
    </row>
    <row r="96" spans="1:5" ht="42.75" x14ac:dyDescent="0.2">
      <c r="A96" s="25" t="str">
        <f>Source!E424</f>
        <v>53</v>
      </c>
      <c r="B96" s="26" t="str">
        <f>Source!G424</f>
        <v>Огрунтовка металлических поверхностей за один раз: грунтовкой ГФ-021</v>
      </c>
      <c r="C96" s="27" t="str">
        <f>Source!H424</f>
        <v>100 м2 окрашиваемой поверхности</v>
      </c>
      <c r="D96" s="28">
        <f>Source!I424</f>
        <v>0.14299999999999999</v>
      </c>
      <c r="E96" s="26"/>
    </row>
    <row r="97" spans="1:5" ht="42.75" x14ac:dyDescent="0.2">
      <c r="A97" s="21" t="str">
        <f>Source!E425</f>
        <v>54</v>
      </c>
      <c r="B97" s="22" t="str">
        <f>Source!G425</f>
        <v>Окраска металлических огрунтованных поверхностей: эмалью ПФ-115</v>
      </c>
      <c r="C97" s="23" t="str">
        <f>Source!H425</f>
        <v>100 м2 окрашиваемой поверхности</v>
      </c>
      <c r="D97" s="24">
        <f>Source!I425</f>
        <v>0.14299999999999999</v>
      </c>
      <c r="E97" s="22"/>
    </row>
    <row r="100" spans="1:5" ht="15" x14ac:dyDescent="0.25">
      <c r="A100" s="29" t="s">
        <v>717</v>
      </c>
      <c r="B100" s="29"/>
      <c r="C100" s="29" t="s">
        <v>718</v>
      </c>
      <c r="D100" s="29"/>
      <c r="E100" s="29"/>
    </row>
  </sheetData>
  <mergeCells count="12">
    <mergeCell ref="A73:E73"/>
    <mergeCell ref="A78:E78"/>
    <mergeCell ref="A83:E83"/>
    <mergeCell ref="A16:E16"/>
    <mergeCell ref="A29:E29"/>
    <mergeCell ref="A30:E30"/>
    <mergeCell ref="A44:E44"/>
    <mergeCell ref="A53:E53"/>
    <mergeCell ref="A64:E64"/>
    <mergeCell ref="A15:E15"/>
    <mergeCell ref="A10:D10"/>
    <mergeCell ref="A11:D11"/>
  </mergeCells>
  <pageMargins left="0.4" right="0.2" top="0.2" bottom="0.4" header="0.2" footer="0.2"/>
  <pageSetup paperSize="9" scale="76" fitToHeight="0" orientation="portrait" verticalDpi="0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556"/>
  <sheetViews>
    <sheetView topLeftCell="A391" workbookViewId="0">
      <selection activeCell="I416" sqref="I41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60493</v>
      </c>
      <c r="M1">
        <v>10</v>
      </c>
      <c r="N1">
        <v>11</v>
      </c>
      <c r="O1">
        <v>0</v>
      </c>
      <c r="P1">
        <v>1</v>
      </c>
      <c r="Q1">
        <v>6</v>
      </c>
    </row>
    <row r="12" spans="1:133" x14ac:dyDescent="0.2">
      <c r="A12" s="1">
        <v>1</v>
      </c>
      <c r="B12" s="1">
        <v>552</v>
      </c>
      <c r="C12" s="1">
        <v>0</v>
      </c>
      <c r="D12" s="1">
        <f>ROW(A493)</f>
        <v>493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1</v>
      </c>
      <c r="BQ12" s="1">
        <v>0</v>
      </c>
      <c r="BR12" s="1">
        <v>0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3</v>
      </c>
      <c r="CF12" s="1">
        <v>0</v>
      </c>
      <c r="CG12" s="1">
        <v>0</v>
      </c>
      <c r="CH12" s="1">
        <v>327688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B493</f>
        <v>552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</v>
      </c>
      <c r="G18" s="2" t="str">
        <f t="shared" si="0"/>
        <v>4.  №14а по ул. Черняховского</v>
      </c>
      <c r="H18" s="2"/>
      <c r="I18" s="2"/>
      <c r="J18" s="2"/>
      <c r="K18" s="2"/>
      <c r="L18" s="2"/>
      <c r="M18" s="2"/>
      <c r="N18" s="2"/>
      <c r="O18" s="2">
        <f t="shared" ref="O18:AT18" si="1">O493</f>
        <v>514743</v>
      </c>
      <c r="P18" s="2">
        <f t="shared" si="1"/>
        <v>439952</v>
      </c>
      <c r="Q18" s="2">
        <f t="shared" si="1"/>
        <v>62308</v>
      </c>
      <c r="R18" s="2">
        <f t="shared" si="1"/>
        <v>4006</v>
      </c>
      <c r="S18" s="2">
        <f t="shared" si="1"/>
        <v>12483</v>
      </c>
      <c r="T18" s="2">
        <f t="shared" si="1"/>
        <v>0</v>
      </c>
      <c r="U18" s="2">
        <f t="shared" si="1"/>
        <v>1795.5392820999998</v>
      </c>
      <c r="V18" s="2">
        <f t="shared" si="1"/>
        <v>314.25764325</v>
      </c>
      <c r="W18" s="2">
        <f t="shared" si="1"/>
        <v>0</v>
      </c>
      <c r="X18" s="2">
        <f t="shared" si="1"/>
        <v>21361</v>
      </c>
      <c r="Y18" s="2">
        <f t="shared" si="1"/>
        <v>12164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548268</v>
      </c>
      <c r="AS18" s="2">
        <f t="shared" si="1"/>
        <v>548268</v>
      </c>
      <c r="AT18" s="2">
        <f t="shared" si="1"/>
        <v>0</v>
      </c>
      <c r="AU18" s="2">
        <f t="shared" ref="AU18:BZ18" si="2">AU493</f>
        <v>0</v>
      </c>
      <c r="AV18" s="2">
        <f t="shared" si="2"/>
        <v>439952</v>
      </c>
      <c r="AW18" s="2">
        <f t="shared" si="2"/>
        <v>439952</v>
      </c>
      <c r="AX18" s="2">
        <f t="shared" si="2"/>
        <v>0</v>
      </c>
      <c r="AY18" s="2">
        <f t="shared" si="2"/>
        <v>439952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6832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CA493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DG493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EM493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FS493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ROW(A457)</f>
        <v>457</v>
      </c>
      <c r="E20" s="1"/>
      <c r="F20" s="1" t="s">
        <v>10</v>
      </c>
      <c r="G20" s="1" t="s">
        <v>10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11</v>
      </c>
      <c r="BE20" s="1" t="s">
        <v>11</v>
      </c>
      <c r="BF20" s="1" t="s">
        <v>12</v>
      </c>
      <c r="BG20" s="1" t="s">
        <v>3</v>
      </c>
      <c r="BH20" s="1" t="s">
        <v>12</v>
      </c>
      <c r="BI20" s="1" t="s">
        <v>11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11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</row>
    <row r="22" spans="1:245" x14ac:dyDescent="0.2">
      <c r="A22" s="2">
        <v>52</v>
      </c>
      <c r="B22" s="2">
        <f t="shared" ref="B22:G22" si="7">B457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O457</f>
        <v>514743</v>
      </c>
      <c r="P22" s="2">
        <f t="shared" si="8"/>
        <v>439952</v>
      </c>
      <c r="Q22" s="2">
        <f t="shared" si="8"/>
        <v>62308</v>
      </c>
      <c r="R22" s="2">
        <f t="shared" si="8"/>
        <v>4006</v>
      </c>
      <c r="S22" s="2">
        <f t="shared" si="8"/>
        <v>12483</v>
      </c>
      <c r="T22" s="2">
        <f t="shared" si="8"/>
        <v>0</v>
      </c>
      <c r="U22" s="2">
        <f t="shared" si="8"/>
        <v>1795.5392820999998</v>
      </c>
      <c r="V22" s="2">
        <f t="shared" si="8"/>
        <v>314.25764325</v>
      </c>
      <c r="W22" s="2">
        <f t="shared" si="8"/>
        <v>0</v>
      </c>
      <c r="X22" s="2">
        <f t="shared" si="8"/>
        <v>21361</v>
      </c>
      <c r="Y22" s="2">
        <f t="shared" si="8"/>
        <v>12164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548268</v>
      </c>
      <c r="AS22" s="2">
        <f t="shared" si="8"/>
        <v>548268</v>
      </c>
      <c r="AT22" s="2">
        <f t="shared" si="8"/>
        <v>0</v>
      </c>
      <c r="AU22" s="2">
        <f t="shared" ref="AU22:BZ22" si="9">AU457</f>
        <v>0</v>
      </c>
      <c r="AV22" s="2">
        <f t="shared" si="9"/>
        <v>439952</v>
      </c>
      <c r="AW22" s="2">
        <f t="shared" si="9"/>
        <v>439952</v>
      </c>
      <c r="AX22" s="2">
        <f t="shared" si="9"/>
        <v>0</v>
      </c>
      <c r="AY22" s="2">
        <f t="shared" si="9"/>
        <v>439952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6832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CA457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DG457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EM457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FS457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ROW(A371)</f>
        <v>371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-1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11</v>
      </c>
      <c r="BE24" s="1" t="s">
        <v>11</v>
      </c>
      <c r="BF24" s="1" t="s">
        <v>12</v>
      </c>
      <c r="BG24" s="1" t="s">
        <v>3</v>
      </c>
      <c r="BH24" s="1" t="s">
        <v>12</v>
      </c>
      <c r="BI24" s="1" t="s">
        <v>11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11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B371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1.  ул. Черняховского, д.14А</v>
      </c>
      <c r="H26" s="2"/>
      <c r="I26" s="2"/>
      <c r="J26" s="2"/>
      <c r="K26" s="2"/>
      <c r="L26" s="2"/>
      <c r="M26" s="2"/>
      <c r="N26" s="2"/>
      <c r="O26" s="2">
        <f t="shared" ref="O26:AT26" si="15">O371</f>
        <v>505387</v>
      </c>
      <c r="P26" s="2">
        <f t="shared" si="15"/>
        <v>431759</v>
      </c>
      <c r="Q26" s="2">
        <f t="shared" si="15"/>
        <v>61502</v>
      </c>
      <c r="R26" s="2">
        <f t="shared" si="15"/>
        <v>3884</v>
      </c>
      <c r="S26" s="2">
        <f t="shared" si="15"/>
        <v>12126</v>
      </c>
      <c r="T26" s="2">
        <f t="shared" si="15"/>
        <v>0</v>
      </c>
      <c r="U26" s="2">
        <f t="shared" si="15"/>
        <v>1743.8319370999998</v>
      </c>
      <c r="V26" s="2">
        <f t="shared" si="15"/>
        <v>303.27306824999999</v>
      </c>
      <c r="W26" s="2">
        <f t="shared" si="15"/>
        <v>0</v>
      </c>
      <c r="X26" s="2">
        <f t="shared" si="15"/>
        <v>20904</v>
      </c>
      <c r="Y26" s="2">
        <f t="shared" si="15"/>
        <v>11844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538135</v>
      </c>
      <c r="AS26" s="2">
        <f t="shared" si="15"/>
        <v>538135</v>
      </c>
      <c r="AT26" s="2">
        <f t="shared" si="15"/>
        <v>0</v>
      </c>
      <c r="AU26" s="2">
        <f t="shared" ref="AU26:BZ26" si="16">AU371</f>
        <v>0</v>
      </c>
      <c r="AV26" s="2">
        <f t="shared" si="16"/>
        <v>431759</v>
      </c>
      <c r="AW26" s="2">
        <f t="shared" si="16"/>
        <v>431759</v>
      </c>
      <c r="AX26" s="2">
        <f t="shared" si="16"/>
        <v>0</v>
      </c>
      <c r="AY26" s="2">
        <f t="shared" si="16"/>
        <v>431759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6675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CA371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DG371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EM371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FS371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ROW(A45)</f>
        <v>45</v>
      </c>
      <c r="E28" s="1"/>
      <c r="F28" s="1" t="s">
        <v>15</v>
      </c>
      <c r="G28" s="1" t="s">
        <v>16</v>
      </c>
      <c r="H28" s="1" t="s">
        <v>3</v>
      </c>
      <c r="I28" s="1">
        <v>0</v>
      </c>
      <c r="J28" s="1"/>
      <c r="K28" s="1">
        <v>0</v>
      </c>
      <c r="L28" s="1"/>
      <c r="M28" s="1"/>
      <c r="N28" s="1"/>
      <c r="O28" s="1"/>
      <c r="P28" s="1"/>
      <c r="Q28" s="1"/>
      <c r="R28" s="1"/>
      <c r="S28" s="1"/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11</v>
      </c>
      <c r="BE28" s="1" t="s">
        <v>11</v>
      </c>
      <c r="BF28" s="1" t="s">
        <v>12</v>
      </c>
      <c r="BG28" s="1" t="s">
        <v>3</v>
      </c>
      <c r="BH28" s="1" t="s">
        <v>12</v>
      </c>
      <c r="BI28" s="1" t="s">
        <v>11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11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B45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Расчистка территории</v>
      </c>
      <c r="H30" s="2"/>
      <c r="I30" s="2"/>
      <c r="J30" s="2"/>
      <c r="K30" s="2"/>
      <c r="L30" s="2"/>
      <c r="M30" s="2"/>
      <c r="N30" s="2"/>
      <c r="O30" s="2">
        <f t="shared" ref="O30:AT30" si="22">O45</f>
        <v>31185</v>
      </c>
      <c r="P30" s="2">
        <f t="shared" si="22"/>
        <v>11</v>
      </c>
      <c r="Q30" s="2">
        <f t="shared" si="22"/>
        <v>28570</v>
      </c>
      <c r="R30" s="2">
        <f t="shared" si="22"/>
        <v>902</v>
      </c>
      <c r="S30" s="2">
        <f t="shared" si="22"/>
        <v>2604</v>
      </c>
      <c r="T30" s="2">
        <f t="shared" si="22"/>
        <v>0</v>
      </c>
      <c r="U30" s="2">
        <f t="shared" si="22"/>
        <v>373.03582870000002</v>
      </c>
      <c r="V30" s="2">
        <f t="shared" si="22"/>
        <v>80.018449500000003</v>
      </c>
      <c r="W30" s="2">
        <f t="shared" si="22"/>
        <v>0</v>
      </c>
      <c r="X30" s="2">
        <f t="shared" si="22"/>
        <v>3715</v>
      </c>
      <c r="Y30" s="2">
        <f t="shared" si="22"/>
        <v>2109</v>
      </c>
      <c r="Z30" s="2">
        <f t="shared" si="22"/>
        <v>0</v>
      </c>
      <c r="AA30" s="2">
        <f t="shared" si="22"/>
        <v>0</v>
      </c>
      <c r="AB30" s="2">
        <f t="shared" si="22"/>
        <v>31185</v>
      </c>
      <c r="AC30" s="2">
        <f t="shared" si="22"/>
        <v>11</v>
      </c>
      <c r="AD30" s="2">
        <f t="shared" si="22"/>
        <v>28570</v>
      </c>
      <c r="AE30" s="2">
        <f t="shared" si="22"/>
        <v>902</v>
      </c>
      <c r="AF30" s="2">
        <f t="shared" si="22"/>
        <v>2604</v>
      </c>
      <c r="AG30" s="2">
        <f t="shared" si="22"/>
        <v>0</v>
      </c>
      <c r="AH30" s="2">
        <f t="shared" si="22"/>
        <v>373.03582870000002</v>
      </c>
      <c r="AI30" s="2">
        <f t="shared" si="22"/>
        <v>80.018449500000003</v>
      </c>
      <c r="AJ30" s="2">
        <f t="shared" si="22"/>
        <v>0</v>
      </c>
      <c r="AK30" s="2">
        <f t="shared" si="22"/>
        <v>3715</v>
      </c>
      <c r="AL30" s="2">
        <f t="shared" si="22"/>
        <v>2109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37009</v>
      </c>
      <c r="AS30" s="2">
        <f t="shared" si="22"/>
        <v>37009</v>
      </c>
      <c r="AT30" s="2">
        <f t="shared" si="22"/>
        <v>0</v>
      </c>
      <c r="AU30" s="2">
        <f t="shared" ref="AU30:BZ30" si="23">AU45</f>
        <v>0</v>
      </c>
      <c r="AV30" s="2">
        <f t="shared" si="23"/>
        <v>11</v>
      </c>
      <c r="AW30" s="2">
        <f t="shared" si="23"/>
        <v>11</v>
      </c>
      <c r="AX30" s="2">
        <f t="shared" si="23"/>
        <v>0</v>
      </c>
      <c r="AY30" s="2">
        <f t="shared" si="23"/>
        <v>11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5674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CA45</f>
        <v>37009</v>
      </c>
      <c r="CB30" s="2">
        <f t="shared" si="24"/>
        <v>37009</v>
      </c>
      <c r="CC30" s="2">
        <f t="shared" si="24"/>
        <v>0</v>
      </c>
      <c r="CD30" s="2">
        <f t="shared" si="24"/>
        <v>0</v>
      </c>
      <c r="CE30" s="2">
        <f t="shared" si="24"/>
        <v>11</v>
      </c>
      <c r="CF30" s="2">
        <f t="shared" si="24"/>
        <v>11</v>
      </c>
      <c r="CG30" s="2">
        <f t="shared" si="24"/>
        <v>0</v>
      </c>
      <c r="CH30" s="2">
        <f t="shared" si="24"/>
        <v>11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5674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DG45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EM45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FS45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C32">
        <f>ROW(SmtRes!A2)</f>
        <v>2</v>
      </c>
      <c r="D32">
        <f>ROW(EtalonRes!A2)</f>
        <v>2</v>
      </c>
      <c r="E32" t="s">
        <v>17</v>
      </c>
      <c r="F32" t="s">
        <v>18</v>
      </c>
      <c r="G32" t="s">
        <v>19</v>
      </c>
      <c r="H32" t="s">
        <v>20</v>
      </c>
      <c r="I32">
        <f>ROUND(13.41,4)</f>
        <v>13.41</v>
      </c>
      <c r="J32">
        <v>0</v>
      </c>
      <c r="O32">
        <f t="shared" ref="O32:O43" si="28">ROUND(CP32,0)</f>
        <v>434</v>
      </c>
      <c r="P32">
        <f t="shared" ref="P32:P43" si="29">ROUND(CQ32*I32,0)</f>
        <v>0</v>
      </c>
      <c r="Q32">
        <f t="shared" ref="Q32:Q43" si="30">ROUND(CR32*I32,0)</f>
        <v>162</v>
      </c>
      <c r="R32">
        <f t="shared" ref="R32:R43" si="31">ROUND(CS32*I32,0)</f>
        <v>0</v>
      </c>
      <c r="S32">
        <f t="shared" ref="S32:S43" si="32">ROUND(CT32*I32,0)</f>
        <v>272</v>
      </c>
      <c r="T32">
        <f t="shared" ref="T32:T43" si="33">ROUND(CU32*I32,0)</f>
        <v>0</v>
      </c>
      <c r="U32">
        <f t="shared" ref="U32:U43" si="34">CV32*I32</f>
        <v>39.8277</v>
      </c>
      <c r="V32">
        <f t="shared" ref="V32:V43" si="35">CW32*I32</f>
        <v>0</v>
      </c>
      <c r="W32">
        <f t="shared" ref="W32:W43" si="36">ROUND(CX32*I32,0)</f>
        <v>0</v>
      </c>
      <c r="X32">
        <f t="shared" ref="X32:X43" si="37">ROUND(CY32,0)</f>
        <v>283</v>
      </c>
      <c r="Y32">
        <f t="shared" ref="Y32:Y43" si="38">ROUND(CZ32,0)</f>
        <v>163</v>
      </c>
      <c r="AA32">
        <v>50210945</v>
      </c>
      <c r="AB32">
        <f t="shared" ref="AB32:AB43" si="39">ROUND((AC32+AD32+AF32),1)</f>
        <v>32.4</v>
      </c>
      <c r="AC32">
        <f t="shared" ref="AC32:AC43" si="40">ROUND((ES32),1)</f>
        <v>0</v>
      </c>
      <c r="AD32">
        <f>ROUND((((ET32)-(EU32))+AE32),1)</f>
        <v>12.1</v>
      </c>
      <c r="AE32">
        <f>ROUND((EU32),1)</f>
        <v>0</v>
      </c>
      <c r="AF32">
        <f>ROUND((EV32),1)</f>
        <v>20.3</v>
      </c>
      <c r="AG32">
        <f t="shared" ref="AG32:AG43" si="41">ROUND((AP32),1)</f>
        <v>0</v>
      </c>
      <c r="AH32">
        <f t="shared" ref="AH32:AI36" si="42">(EW32)</f>
        <v>2.97</v>
      </c>
      <c r="AI32">
        <f t="shared" si="42"/>
        <v>0</v>
      </c>
      <c r="AJ32">
        <f t="shared" ref="AJ32:AJ43" si="43">(AS32)</f>
        <v>0</v>
      </c>
      <c r="AK32">
        <v>32.369999999999997</v>
      </c>
      <c r="AL32">
        <v>0</v>
      </c>
      <c r="AM32">
        <v>12.11</v>
      </c>
      <c r="AN32">
        <v>0</v>
      </c>
      <c r="AO32">
        <v>20.260000000000002</v>
      </c>
      <c r="AP32">
        <v>0</v>
      </c>
      <c r="AQ32">
        <v>2.97</v>
      </c>
      <c r="AR32">
        <v>0</v>
      </c>
      <c r="AS32">
        <v>0</v>
      </c>
      <c r="AT32">
        <v>104</v>
      </c>
      <c r="AU32">
        <v>60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21</v>
      </c>
      <c r="BM32">
        <v>68001</v>
      </c>
      <c r="BN32">
        <v>0</v>
      </c>
      <c r="BO32" t="s">
        <v>3</v>
      </c>
      <c r="BP32">
        <v>0</v>
      </c>
      <c r="BQ32">
        <v>6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104</v>
      </c>
      <c r="CA32">
        <v>60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3" si="44">(P32+Q32+S32)</f>
        <v>434</v>
      </c>
      <c r="CQ32">
        <f t="shared" ref="CQ32:CQ43" si="45">AC32*BC32</f>
        <v>0</v>
      </c>
      <c r="CR32">
        <f t="shared" ref="CR32:CR43" si="46">AD32*BB32</f>
        <v>12.1</v>
      </c>
      <c r="CS32">
        <f t="shared" ref="CS32:CS43" si="47">AE32*BS32</f>
        <v>0</v>
      </c>
      <c r="CT32">
        <f t="shared" ref="CT32:CT43" si="48">AF32*BA32</f>
        <v>20.3</v>
      </c>
      <c r="CU32">
        <f t="shared" ref="CU32:CU43" si="49">AG32</f>
        <v>0</v>
      </c>
      <c r="CV32">
        <f t="shared" ref="CV32:CV43" si="50">AH32</f>
        <v>2.97</v>
      </c>
      <c r="CW32">
        <f t="shared" ref="CW32:CW43" si="51">AI32</f>
        <v>0</v>
      </c>
      <c r="CX32">
        <f t="shared" ref="CX32:CX43" si="52">AJ32</f>
        <v>0</v>
      </c>
      <c r="CY32">
        <f t="shared" ref="CY32:CY43" si="53">(((S32+R32)*AT32)/100)</f>
        <v>282.88</v>
      </c>
      <c r="CZ32">
        <f t="shared" ref="CZ32:CZ43" si="54">(((S32+R32)*AU32)/100)</f>
        <v>163.19999999999999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20</v>
      </c>
      <c r="DW32" t="s">
        <v>20</v>
      </c>
      <c r="DX32">
        <v>1</v>
      </c>
      <c r="EE32">
        <v>48752341</v>
      </c>
      <c r="EF32">
        <v>6</v>
      </c>
      <c r="EG32" t="s">
        <v>22</v>
      </c>
      <c r="EH32">
        <v>0</v>
      </c>
      <c r="EI32" t="s">
        <v>3</v>
      </c>
      <c r="EJ32">
        <v>1</v>
      </c>
      <c r="EK32">
        <v>68001</v>
      </c>
      <c r="EL32" t="s">
        <v>23</v>
      </c>
      <c r="EM32" t="s">
        <v>24</v>
      </c>
      <c r="EO32" t="s">
        <v>3</v>
      </c>
      <c r="EQ32">
        <v>131072</v>
      </c>
      <c r="ER32">
        <v>32.369999999999997</v>
      </c>
      <c r="ES32">
        <v>0</v>
      </c>
      <c r="ET32">
        <v>12.11</v>
      </c>
      <c r="EU32">
        <v>0</v>
      </c>
      <c r="EV32">
        <v>20.260000000000002</v>
      </c>
      <c r="EW32">
        <v>2.97</v>
      </c>
      <c r="EX32">
        <v>0</v>
      </c>
      <c r="EY32">
        <v>0</v>
      </c>
      <c r="FQ32">
        <v>0</v>
      </c>
      <c r="FR32">
        <f t="shared" ref="FR32:FR43" si="55">ROUND(IF(AND(BH32=3,BI32=3),P32,0),0)</f>
        <v>0</v>
      </c>
      <c r="FS32">
        <v>0</v>
      </c>
      <c r="FX32">
        <v>104</v>
      </c>
      <c r="FY32">
        <v>60</v>
      </c>
      <c r="GA32" t="s">
        <v>3</v>
      </c>
      <c r="GD32">
        <v>1</v>
      </c>
      <c r="GF32">
        <v>-319492826</v>
      </c>
      <c r="GG32">
        <v>2</v>
      </c>
      <c r="GH32">
        <v>0</v>
      </c>
      <c r="GI32">
        <v>0</v>
      </c>
      <c r="GJ32">
        <v>0</v>
      </c>
      <c r="GK32">
        <v>0</v>
      </c>
      <c r="GL32">
        <f t="shared" ref="GL32:GL43" si="56">ROUND(IF(AND(BH32=3,BI32=3,FS32&lt;&gt;0),P32,0),0)</f>
        <v>0</v>
      </c>
      <c r="GM32">
        <f t="shared" ref="GM32:GM43" si="57">ROUND(O32+X32+Y32,0)+GX32</f>
        <v>880</v>
      </c>
      <c r="GN32">
        <f t="shared" ref="GN32:GN43" si="58">IF(OR(BI32=0,BI32=1),ROUND(O32+X32+Y32,0),0)</f>
        <v>880</v>
      </c>
      <c r="GO32">
        <f t="shared" ref="GO32:GO43" si="59">IF(BI32=2,ROUND(O32+X32+Y32,0),0)</f>
        <v>0</v>
      </c>
      <c r="GP32">
        <f t="shared" ref="GP32:GP43" si="60">IF(BI32=4,ROUND(O32+X32+Y32,0)+GX32,0)</f>
        <v>0</v>
      </c>
      <c r="GR32">
        <v>0</v>
      </c>
      <c r="GS32">
        <v>0</v>
      </c>
      <c r="GT32">
        <v>0</v>
      </c>
      <c r="GU32" t="s">
        <v>3</v>
      </c>
      <c r="GV32">
        <f t="shared" ref="GV32:GV43" si="61">ROUND((GT32),1)</f>
        <v>0</v>
      </c>
      <c r="GW32">
        <v>1</v>
      </c>
      <c r="GX32">
        <f t="shared" ref="GX32:GX43" si="62">ROUND(HC32*I32,0)</f>
        <v>0</v>
      </c>
      <c r="HA32">
        <v>0</v>
      </c>
      <c r="HB32">
        <v>0</v>
      </c>
      <c r="HC32">
        <f t="shared" ref="HC32:HC43" si="63">GV32*GW32</f>
        <v>0</v>
      </c>
      <c r="IK32">
        <v>0</v>
      </c>
    </row>
    <row r="33" spans="1:245" x14ac:dyDescent="0.2">
      <c r="A33">
        <v>17</v>
      </c>
      <c r="B33">
        <v>1</v>
      </c>
      <c r="C33">
        <f>ROW(SmtRes!A3)</f>
        <v>3</v>
      </c>
      <c r="D33">
        <f>ROW(EtalonRes!A3)</f>
        <v>3</v>
      </c>
      <c r="E33" t="s">
        <v>25</v>
      </c>
      <c r="F33" t="s">
        <v>26</v>
      </c>
      <c r="G33" t="s">
        <v>27</v>
      </c>
      <c r="H33" t="s">
        <v>28</v>
      </c>
      <c r="I33">
        <f>ROUND(9/100,4)</f>
        <v>0.09</v>
      </c>
      <c r="J33">
        <v>0</v>
      </c>
      <c r="O33">
        <f t="shared" si="28"/>
        <v>43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43</v>
      </c>
      <c r="T33">
        <f t="shared" si="33"/>
        <v>0</v>
      </c>
      <c r="U33">
        <f t="shared" si="34"/>
        <v>6.8219999999999992</v>
      </c>
      <c r="V33">
        <f t="shared" si="35"/>
        <v>0</v>
      </c>
      <c r="W33">
        <f t="shared" si="36"/>
        <v>0</v>
      </c>
      <c r="X33">
        <f t="shared" si="37"/>
        <v>34</v>
      </c>
      <c r="Y33">
        <f t="shared" si="38"/>
        <v>16</v>
      </c>
      <c r="AA33">
        <v>50210945</v>
      </c>
      <c r="AB33">
        <f t="shared" si="39"/>
        <v>481.3</v>
      </c>
      <c r="AC33">
        <f t="shared" si="40"/>
        <v>0</v>
      </c>
      <c r="AD33">
        <f>ROUND((((ET33)-(EU33))+AE33),1)</f>
        <v>0</v>
      </c>
      <c r="AE33">
        <f>ROUND((EU33),1)</f>
        <v>0</v>
      </c>
      <c r="AF33">
        <f>ROUND((EV33),1)</f>
        <v>481.3</v>
      </c>
      <c r="AG33">
        <f t="shared" si="41"/>
        <v>0</v>
      </c>
      <c r="AH33">
        <f t="shared" si="42"/>
        <v>75.8</v>
      </c>
      <c r="AI33">
        <f t="shared" si="42"/>
        <v>0</v>
      </c>
      <c r="AJ33">
        <f t="shared" si="43"/>
        <v>0</v>
      </c>
      <c r="AK33">
        <v>481.33</v>
      </c>
      <c r="AL33">
        <v>0</v>
      </c>
      <c r="AM33">
        <v>0</v>
      </c>
      <c r="AN33">
        <v>0</v>
      </c>
      <c r="AO33">
        <v>481.33</v>
      </c>
      <c r="AP33">
        <v>0</v>
      </c>
      <c r="AQ33">
        <v>75.8</v>
      </c>
      <c r="AR33">
        <v>0</v>
      </c>
      <c r="AS33">
        <v>0</v>
      </c>
      <c r="AT33">
        <v>80</v>
      </c>
      <c r="AU33">
        <v>38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29</v>
      </c>
      <c r="BM33">
        <v>1007</v>
      </c>
      <c r="BN33">
        <v>0</v>
      </c>
      <c r="BO33" t="s">
        <v>3</v>
      </c>
      <c r="BP33">
        <v>0</v>
      </c>
      <c r="BQ33">
        <v>2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80</v>
      </c>
      <c r="CA33">
        <v>45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4"/>
        <v>43</v>
      </c>
      <c r="CQ33">
        <f t="shared" si="45"/>
        <v>0</v>
      </c>
      <c r="CR33">
        <f t="shared" si="46"/>
        <v>0</v>
      </c>
      <c r="CS33">
        <f t="shared" si="47"/>
        <v>0</v>
      </c>
      <c r="CT33">
        <f t="shared" si="48"/>
        <v>481.3</v>
      </c>
      <c r="CU33">
        <f t="shared" si="49"/>
        <v>0</v>
      </c>
      <c r="CV33">
        <f t="shared" si="50"/>
        <v>75.8</v>
      </c>
      <c r="CW33">
        <f t="shared" si="51"/>
        <v>0</v>
      </c>
      <c r="CX33">
        <f t="shared" si="52"/>
        <v>0</v>
      </c>
      <c r="CY33">
        <f t="shared" si="53"/>
        <v>34.4</v>
      </c>
      <c r="CZ33">
        <f t="shared" si="54"/>
        <v>16.34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28</v>
      </c>
      <c r="DW33" t="s">
        <v>28</v>
      </c>
      <c r="DX33">
        <v>1</v>
      </c>
      <c r="EE33">
        <v>48752194</v>
      </c>
      <c r="EF33">
        <v>2</v>
      </c>
      <c r="EG33" t="s">
        <v>30</v>
      </c>
      <c r="EH33">
        <v>0</v>
      </c>
      <c r="EI33" t="s">
        <v>3</v>
      </c>
      <c r="EJ33">
        <v>1</v>
      </c>
      <c r="EK33">
        <v>1007</v>
      </c>
      <c r="EL33" t="s">
        <v>31</v>
      </c>
      <c r="EM33" t="s">
        <v>32</v>
      </c>
      <c r="EO33" t="s">
        <v>3</v>
      </c>
      <c r="EQ33">
        <v>131072</v>
      </c>
      <c r="ER33">
        <v>481.33</v>
      </c>
      <c r="ES33">
        <v>0</v>
      </c>
      <c r="ET33">
        <v>0</v>
      </c>
      <c r="EU33">
        <v>0</v>
      </c>
      <c r="EV33">
        <v>481.33</v>
      </c>
      <c r="EW33">
        <v>75.8</v>
      </c>
      <c r="EX33">
        <v>0</v>
      </c>
      <c r="EY33">
        <v>0</v>
      </c>
      <c r="FQ33">
        <v>0</v>
      </c>
      <c r="FR33">
        <f t="shared" si="55"/>
        <v>0</v>
      </c>
      <c r="FS33">
        <v>0</v>
      </c>
      <c r="FU33" t="s">
        <v>33</v>
      </c>
      <c r="FX33">
        <v>80</v>
      </c>
      <c r="FY33">
        <v>38.25</v>
      </c>
      <c r="GA33" t="s">
        <v>3</v>
      </c>
      <c r="GD33">
        <v>1</v>
      </c>
      <c r="GF33">
        <v>682095837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56"/>
        <v>0</v>
      </c>
      <c r="GM33">
        <f t="shared" si="57"/>
        <v>93</v>
      </c>
      <c r="GN33">
        <f t="shared" si="58"/>
        <v>93</v>
      </c>
      <c r="GO33">
        <f t="shared" si="59"/>
        <v>0</v>
      </c>
      <c r="GP33">
        <f t="shared" si="60"/>
        <v>0</v>
      </c>
      <c r="GR33">
        <v>0</v>
      </c>
      <c r="GS33">
        <v>3</v>
      </c>
      <c r="GT33">
        <v>0</v>
      </c>
      <c r="GU33" t="s">
        <v>3</v>
      </c>
      <c r="GV33">
        <f t="shared" si="61"/>
        <v>0</v>
      </c>
      <c r="GW33">
        <v>1</v>
      </c>
      <c r="GX33">
        <f t="shared" si="62"/>
        <v>0</v>
      </c>
      <c r="HA33">
        <v>0</v>
      </c>
      <c r="HB33">
        <v>0</v>
      </c>
      <c r="HC33">
        <f t="shared" si="63"/>
        <v>0</v>
      </c>
      <c r="IK33">
        <v>0</v>
      </c>
    </row>
    <row r="34" spans="1:245" x14ac:dyDescent="0.2">
      <c r="A34">
        <v>17</v>
      </c>
      <c r="B34">
        <v>1</v>
      </c>
      <c r="E34" t="s">
        <v>34</v>
      </c>
      <c r="F34" t="s">
        <v>35</v>
      </c>
      <c r="G34" t="s">
        <v>36</v>
      </c>
      <c r="H34" t="s">
        <v>37</v>
      </c>
      <c r="I34">
        <f>ROUND(I32*0.6,4)</f>
        <v>8.0459999999999994</v>
      </c>
      <c r="J34">
        <v>0</v>
      </c>
      <c r="O34">
        <f t="shared" si="28"/>
        <v>83</v>
      </c>
      <c r="P34">
        <f t="shared" si="29"/>
        <v>0</v>
      </c>
      <c r="Q34">
        <f t="shared" si="30"/>
        <v>83</v>
      </c>
      <c r="R34">
        <f t="shared" si="31"/>
        <v>0</v>
      </c>
      <c r="S34">
        <f t="shared" si="32"/>
        <v>0</v>
      </c>
      <c r="T34">
        <f t="shared" si="33"/>
        <v>0</v>
      </c>
      <c r="U34">
        <f t="shared" si="34"/>
        <v>0</v>
      </c>
      <c r="V34">
        <f t="shared" si="35"/>
        <v>0</v>
      </c>
      <c r="W34">
        <f t="shared" si="36"/>
        <v>0</v>
      </c>
      <c r="X34">
        <f t="shared" si="37"/>
        <v>0</v>
      </c>
      <c r="Y34">
        <f t="shared" si="38"/>
        <v>0</v>
      </c>
      <c r="AA34">
        <v>50210945</v>
      </c>
      <c r="AB34">
        <f t="shared" si="39"/>
        <v>10.3</v>
      </c>
      <c r="AC34">
        <f t="shared" si="40"/>
        <v>0</v>
      </c>
      <c r="AD34">
        <f>ROUND(((ET34)+ROUND(((EU34)*1.6),2)),1)</f>
        <v>10.3</v>
      </c>
      <c r="AE34">
        <f>ROUND(((EU34)+ROUND(((EU34)*1.6),2)),1)</f>
        <v>0</v>
      </c>
      <c r="AF34">
        <f>ROUND(((EV34)+ROUND(((EV34)*1.6),2)),1)</f>
        <v>0</v>
      </c>
      <c r="AG34">
        <f t="shared" si="41"/>
        <v>0</v>
      </c>
      <c r="AH34">
        <f t="shared" si="42"/>
        <v>0</v>
      </c>
      <c r="AI34">
        <f t="shared" si="42"/>
        <v>0</v>
      </c>
      <c r="AJ34">
        <f t="shared" si="43"/>
        <v>0</v>
      </c>
      <c r="AK34">
        <v>10.29</v>
      </c>
      <c r="AL34">
        <v>0</v>
      </c>
      <c r="AM34">
        <v>10.29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38</v>
      </c>
      <c r="BM34">
        <v>700004</v>
      </c>
      <c r="BN34">
        <v>0</v>
      </c>
      <c r="BO34" t="s">
        <v>3</v>
      </c>
      <c r="BP34">
        <v>0</v>
      </c>
      <c r="BQ34">
        <v>19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0</v>
      </c>
      <c r="CA34">
        <v>0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4"/>
        <v>83</v>
      </c>
      <c r="CQ34">
        <f t="shared" si="45"/>
        <v>0</v>
      </c>
      <c r="CR34">
        <f t="shared" si="46"/>
        <v>10.3</v>
      </c>
      <c r="CS34">
        <f t="shared" si="47"/>
        <v>0</v>
      </c>
      <c r="CT34">
        <f t="shared" si="48"/>
        <v>0</v>
      </c>
      <c r="CU34">
        <f t="shared" si="49"/>
        <v>0</v>
      </c>
      <c r="CV34">
        <f t="shared" si="50"/>
        <v>0</v>
      </c>
      <c r="CW34">
        <f t="shared" si="51"/>
        <v>0</v>
      </c>
      <c r="CX34">
        <f t="shared" si="52"/>
        <v>0</v>
      </c>
      <c r="CY34">
        <f t="shared" si="53"/>
        <v>0</v>
      </c>
      <c r="CZ34">
        <f t="shared" si="54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1013</v>
      </c>
      <c r="DV34" t="s">
        <v>37</v>
      </c>
      <c r="DW34" t="s">
        <v>37</v>
      </c>
      <c r="DX34">
        <v>1</v>
      </c>
      <c r="EE34">
        <v>48752403</v>
      </c>
      <c r="EF34">
        <v>19</v>
      </c>
      <c r="EG34" t="s">
        <v>39</v>
      </c>
      <c r="EH34">
        <v>0</v>
      </c>
      <c r="EI34" t="s">
        <v>3</v>
      </c>
      <c r="EJ34">
        <v>1</v>
      </c>
      <c r="EK34">
        <v>700004</v>
      </c>
      <c r="EL34" t="s">
        <v>40</v>
      </c>
      <c r="EM34" t="s">
        <v>41</v>
      </c>
      <c r="EO34" t="s">
        <v>3</v>
      </c>
      <c r="EQ34">
        <v>131072</v>
      </c>
      <c r="ER34">
        <v>10.29</v>
      </c>
      <c r="ES34">
        <v>0</v>
      </c>
      <c r="ET34">
        <v>10.29</v>
      </c>
      <c r="EU34">
        <v>0</v>
      </c>
      <c r="EV34">
        <v>0</v>
      </c>
      <c r="EW34">
        <v>0</v>
      </c>
      <c r="EX34">
        <v>0</v>
      </c>
      <c r="EY34">
        <v>0</v>
      </c>
      <c r="FQ34">
        <v>0</v>
      </c>
      <c r="FR34">
        <f t="shared" si="55"/>
        <v>0</v>
      </c>
      <c r="FS34">
        <v>0</v>
      </c>
      <c r="FX34">
        <v>0</v>
      </c>
      <c r="FY34">
        <v>0</v>
      </c>
      <c r="GA34" t="s">
        <v>3</v>
      </c>
      <c r="GD34">
        <v>1</v>
      </c>
      <c r="GF34">
        <v>1722445820</v>
      </c>
      <c r="GG34">
        <v>2</v>
      </c>
      <c r="GH34">
        <v>0</v>
      </c>
      <c r="GI34">
        <v>0</v>
      </c>
      <c r="GJ34">
        <v>0</v>
      </c>
      <c r="GK34">
        <v>0</v>
      </c>
      <c r="GL34">
        <f t="shared" si="56"/>
        <v>0</v>
      </c>
      <c r="GM34">
        <f t="shared" si="57"/>
        <v>83</v>
      </c>
      <c r="GN34">
        <f t="shared" si="58"/>
        <v>83</v>
      </c>
      <c r="GO34">
        <f t="shared" si="59"/>
        <v>0</v>
      </c>
      <c r="GP34">
        <f t="shared" si="60"/>
        <v>0</v>
      </c>
      <c r="GR34">
        <v>0</v>
      </c>
      <c r="GS34">
        <v>0</v>
      </c>
      <c r="GT34">
        <v>0</v>
      </c>
      <c r="GU34" t="s">
        <v>3</v>
      </c>
      <c r="GV34">
        <f t="shared" si="61"/>
        <v>0</v>
      </c>
      <c r="GW34">
        <v>1</v>
      </c>
      <c r="GX34">
        <f t="shared" si="62"/>
        <v>0</v>
      </c>
      <c r="HA34">
        <v>0</v>
      </c>
      <c r="HB34">
        <v>0</v>
      </c>
      <c r="HC34">
        <f t="shared" si="63"/>
        <v>0</v>
      </c>
      <c r="HD34">
        <f>GM34</f>
        <v>83</v>
      </c>
      <c r="IK34">
        <v>0</v>
      </c>
    </row>
    <row r="35" spans="1:245" x14ac:dyDescent="0.2">
      <c r="A35">
        <v>17</v>
      </c>
      <c r="B35">
        <v>1</v>
      </c>
      <c r="E35" t="s">
        <v>42</v>
      </c>
      <c r="F35" t="s">
        <v>43</v>
      </c>
      <c r="G35" t="s">
        <v>44</v>
      </c>
      <c r="H35" t="s">
        <v>37</v>
      </c>
      <c r="I35">
        <f>ROUND(I34,4)</f>
        <v>8.0459999999999994</v>
      </c>
      <c r="J35">
        <v>0</v>
      </c>
      <c r="O35">
        <f t="shared" si="28"/>
        <v>154</v>
      </c>
      <c r="P35">
        <f t="shared" si="29"/>
        <v>0</v>
      </c>
      <c r="Q35">
        <f t="shared" si="30"/>
        <v>154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50210945</v>
      </c>
      <c r="AB35">
        <f t="shared" si="39"/>
        <v>19.2</v>
      </c>
      <c r="AC35">
        <f t="shared" si="40"/>
        <v>0</v>
      </c>
      <c r="AD35">
        <f>ROUND(((ET35)+ROUND(((EU35)*1.85),2)),1)</f>
        <v>19.2</v>
      </c>
      <c r="AE35">
        <f>ROUND(((EU35)+ROUND(((EU35)*1.85),2)),1)</f>
        <v>0</v>
      </c>
      <c r="AF35">
        <f>ROUND(((EV35)+ROUND(((EV35)*1.85),2)),1)</f>
        <v>0</v>
      </c>
      <c r="AG35">
        <f t="shared" si="41"/>
        <v>0</v>
      </c>
      <c r="AH35">
        <f t="shared" si="42"/>
        <v>0</v>
      </c>
      <c r="AI35">
        <f t="shared" si="42"/>
        <v>0</v>
      </c>
      <c r="AJ35">
        <f t="shared" si="43"/>
        <v>0</v>
      </c>
      <c r="AK35">
        <v>19.170000000000002</v>
      </c>
      <c r="AL35">
        <v>0</v>
      </c>
      <c r="AM35">
        <v>19.170000000000002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1</v>
      </c>
      <c r="BJ35" t="s">
        <v>45</v>
      </c>
      <c r="BM35">
        <v>700001</v>
      </c>
      <c r="BN35">
        <v>0</v>
      </c>
      <c r="BO35" t="s">
        <v>3</v>
      </c>
      <c r="BP35">
        <v>0</v>
      </c>
      <c r="BQ35">
        <v>10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4"/>
        <v>154</v>
      </c>
      <c r="CQ35">
        <f t="shared" si="45"/>
        <v>0</v>
      </c>
      <c r="CR35">
        <f t="shared" si="46"/>
        <v>19.2</v>
      </c>
      <c r="CS35">
        <f t="shared" si="47"/>
        <v>0</v>
      </c>
      <c r="CT35">
        <f t="shared" si="48"/>
        <v>0</v>
      </c>
      <c r="CU35">
        <f t="shared" si="49"/>
        <v>0</v>
      </c>
      <c r="CV35">
        <f t="shared" si="50"/>
        <v>0</v>
      </c>
      <c r="CW35">
        <f t="shared" si="51"/>
        <v>0</v>
      </c>
      <c r="CX35">
        <f t="shared" si="52"/>
        <v>0</v>
      </c>
      <c r="CY35">
        <f t="shared" si="53"/>
        <v>0</v>
      </c>
      <c r="CZ35">
        <f t="shared" si="54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37</v>
      </c>
      <c r="DW35" t="s">
        <v>37</v>
      </c>
      <c r="DX35">
        <v>1</v>
      </c>
      <c r="EE35">
        <v>48752153</v>
      </c>
      <c r="EF35">
        <v>10</v>
      </c>
      <c r="EG35" t="s">
        <v>46</v>
      </c>
      <c r="EH35">
        <v>0</v>
      </c>
      <c r="EI35" t="s">
        <v>3</v>
      </c>
      <c r="EJ35">
        <v>1</v>
      </c>
      <c r="EK35">
        <v>700001</v>
      </c>
      <c r="EL35" t="s">
        <v>47</v>
      </c>
      <c r="EM35" t="s">
        <v>48</v>
      </c>
      <c r="EO35" t="s">
        <v>3</v>
      </c>
      <c r="EQ35">
        <v>131072</v>
      </c>
      <c r="ER35">
        <v>19.170000000000002</v>
      </c>
      <c r="ES35">
        <v>0</v>
      </c>
      <c r="ET35">
        <v>19.170000000000002</v>
      </c>
      <c r="EU35">
        <v>0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55"/>
        <v>0</v>
      </c>
      <c r="FS35">
        <v>0</v>
      </c>
      <c r="FX35">
        <v>0</v>
      </c>
      <c r="FY35">
        <v>0</v>
      </c>
      <c r="GA35" t="s">
        <v>3</v>
      </c>
      <c r="GD35">
        <v>1</v>
      </c>
      <c r="GF35">
        <v>-776111215</v>
      </c>
      <c r="GG35">
        <v>2</v>
      </c>
      <c r="GH35">
        <v>0</v>
      </c>
      <c r="GI35">
        <v>0</v>
      </c>
      <c r="GJ35">
        <v>0</v>
      </c>
      <c r="GK35">
        <v>0</v>
      </c>
      <c r="GL35">
        <f t="shared" si="56"/>
        <v>0</v>
      </c>
      <c r="GM35">
        <f t="shared" si="57"/>
        <v>154</v>
      </c>
      <c r="GN35">
        <f t="shared" si="58"/>
        <v>154</v>
      </c>
      <c r="GO35">
        <f t="shared" si="59"/>
        <v>0</v>
      </c>
      <c r="GP35">
        <f t="shared" si="60"/>
        <v>0</v>
      </c>
      <c r="GR35">
        <v>0</v>
      </c>
      <c r="GS35">
        <v>0</v>
      </c>
      <c r="GT35">
        <v>0</v>
      </c>
      <c r="GU35" t="s">
        <v>3</v>
      </c>
      <c r="GV35">
        <f t="shared" si="61"/>
        <v>0</v>
      </c>
      <c r="GW35">
        <v>1</v>
      </c>
      <c r="GX35">
        <f t="shared" si="62"/>
        <v>0</v>
      </c>
      <c r="HA35">
        <v>0</v>
      </c>
      <c r="HB35">
        <v>0</v>
      </c>
      <c r="HC35">
        <f t="shared" si="63"/>
        <v>0</v>
      </c>
      <c r="HD35">
        <f>GM35</f>
        <v>154</v>
      </c>
      <c r="IK35">
        <v>0</v>
      </c>
    </row>
    <row r="36" spans="1:245" x14ac:dyDescent="0.2">
      <c r="A36">
        <v>17</v>
      </c>
      <c r="B36">
        <v>1</v>
      </c>
      <c r="C36">
        <f>ROW(SmtRes!A6)</f>
        <v>6</v>
      </c>
      <c r="D36">
        <f>ROW(EtalonRes!A6)</f>
        <v>6</v>
      </c>
      <c r="E36" t="s">
        <v>49</v>
      </c>
      <c r="F36" t="s">
        <v>50</v>
      </c>
      <c r="G36" t="s">
        <v>51</v>
      </c>
      <c r="H36" t="s">
        <v>52</v>
      </c>
      <c r="I36">
        <f>ROUND(0.28+1,4)</f>
        <v>1.28</v>
      </c>
      <c r="J36">
        <v>0</v>
      </c>
      <c r="O36">
        <f t="shared" si="28"/>
        <v>293</v>
      </c>
      <c r="P36">
        <f t="shared" si="29"/>
        <v>0</v>
      </c>
      <c r="Q36">
        <f t="shared" si="30"/>
        <v>206</v>
      </c>
      <c r="R36">
        <f t="shared" si="31"/>
        <v>0</v>
      </c>
      <c r="S36">
        <f t="shared" si="32"/>
        <v>87</v>
      </c>
      <c r="T36">
        <f t="shared" si="33"/>
        <v>0</v>
      </c>
      <c r="U36">
        <f t="shared" si="34"/>
        <v>12.4672</v>
      </c>
      <c r="V36">
        <f t="shared" si="35"/>
        <v>0</v>
      </c>
      <c r="W36">
        <f t="shared" si="36"/>
        <v>0</v>
      </c>
      <c r="X36">
        <f t="shared" si="37"/>
        <v>68</v>
      </c>
      <c r="Y36">
        <f t="shared" si="38"/>
        <v>44</v>
      </c>
      <c r="AA36">
        <v>50210945</v>
      </c>
      <c r="AB36">
        <f t="shared" si="39"/>
        <v>228.7</v>
      </c>
      <c r="AC36">
        <f t="shared" si="40"/>
        <v>0</v>
      </c>
      <c r="AD36">
        <f>ROUND((((ET36)-(EU36))+AE36),1)</f>
        <v>161.1</v>
      </c>
      <c r="AE36">
        <f>ROUND((EU36),1)</f>
        <v>0</v>
      </c>
      <c r="AF36">
        <f>ROUND((EV36),1)</f>
        <v>67.599999999999994</v>
      </c>
      <c r="AG36">
        <f t="shared" si="41"/>
        <v>0</v>
      </c>
      <c r="AH36">
        <f t="shared" si="42"/>
        <v>9.74</v>
      </c>
      <c r="AI36">
        <f t="shared" si="42"/>
        <v>0</v>
      </c>
      <c r="AJ36">
        <f t="shared" si="43"/>
        <v>0</v>
      </c>
      <c r="AK36">
        <v>228.69</v>
      </c>
      <c r="AL36">
        <v>0</v>
      </c>
      <c r="AM36">
        <v>161.09</v>
      </c>
      <c r="AN36">
        <v>0</v>
      </c>
      <c r="AO36">
        <v>67.599999999999994</v>
      </c>
      <c r="AP36">
        <v>0</v>
      </c>
      <c r="AQ36">
        <v>9.74</v>
      </c>
      <c r="AR36">
        <v>0</v>
      </c>
      <c r="AS36">
        <v>0</v>
      </c>
      <c r="AT36">
        <v>78</v>
      </c>
      <c r="AU36">
        <v>50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1</v>
      </c>
      <c r="BJ36" t="s">
        <v>53</v>
      </c>
      <c r="BM36">
        <v>69001</v>
      </c>
      <c r="BN36">
        <v>0</v>
      </c>
      <c r="BO36" t="s">
        <v>3</v>
      </c>
      <c r="BP36">
        <v>0</v>
      </c>
      <c r="BQ36">
        <v>6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78</v>
      </c>
      <c r="CA36">
        <v>50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4"/>
        <v>293</v>
      </c>
      <c r="CQ36">
        <f t="shared" si="45"/>
        <v>0</v>
      </c>
      <c r="CR36">
        <f t="shared" si="46"/>
        <v>161.1</v>
      </c>
      <c r="CS36">
        <f t="shared" si="47"/>
        <v>0</v>
      </c>
      <c r="CT36">
        <f t="shared" si="48"/>
        <v>67.599999999999994</v>
      </c>
      <c r="CU36">
        <f t="shared" si="49"/>
        <v>0</v>
      </c>
      <c r="CV36">
        <f t="shared" si="50"/>
        <v>9.74</v>
      </c>
      <c r="CW36">
        <f t="shared" si="51"/>
        <v>0</v>
      </c>
      <c r="CX36">
        <f t="shared" si="52"/>
        <v>0</v>
      </c>
      <c r="CY36">
        <f t="shared" si="53"/>
        <v>67.86</v>
      </c>
      <c r="CZ36">
        <f t="shared" si="54"/>
        <v>43.5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52</v>
      </c>
      <c r="DW36" t="s">
        <v>52</v>
      </c>
      <c r="DX36">
        <v>1</v>
      </c>
      <c r="EE36">
        <v>48752342</v>
      </c>
      <c r="EF36">
        <v>6</v>
      </c>
      <c r="EG36" t="s">
        <v>22</v>
      </c>
      <c r="EH36">
        <v>0</v>
      </c>
      <c r="EI36" t="s">
        <v>3</v>
      </c>
      <c r="EJ36">
        <v>1</v>
      </c>
      <c r="EK36">
        <v>69001</v>
      </c>
      <c r="EL36" t="s">
        <v>54</v>
      </c>
      <c r="EM36" t="s">
        <v>55</v>
      </c>
      <c r="EO36" t="s">
        <v>3</v>
      </c>
      <c r="EQ36">
        <v>0</v>
      </c>
      <c r="ER36">
        <v>228.69</v>
      </c>
      <c r="ES36">
        <v>0</v>
      </c>
      <c r="ET36">
        <v>161.09</v>
      </c>
      <c r="EU36">
        <v>0</v>
      </c>
      <c r="EV36">
        <v>67.599999999999994</v>
      </c>
      <c r="EW36">
        <v>9.74</v>
      </c>
      <c r="EX36">
        <v>0</v>
      </c>
      <c r="EY36">
        <v>0</v>
      </c>
      <c r="FQ36">
        <v>0</v>
      </c>
      <c r="FR36">
        <f t="shared" si="55"/>
        <v>0</v>
      </c>
      <c r="FS36">
        <v>0</v>
      </c>
      <c r="FX36">
        <v>78</v>
      </c>
      <c r="FY36">
        <v>50</v>
      </c>
      <c r="GA36" t="s">
        <v>3</v>
      </c>
      <c r="GD36">
        <v>1</v>
      </c>
      <c r="GF36">
        <v>521517398</v>
      </c>
      <c r="GG36">
        <v>2</v>
      </c>
      <c r="GH36">
        <v>1</v>
      </c>
      <c r="GI36">
        <v>-2</v>
      </c>
      <c r="GJ36">
        <v>0</v>
      </c>
      <c r="GK36">
        <v>0</v>
      </c>
      <c r="GL36">
        <f t="shared" si="56"/>
        <v>0</v>
      </c>
      <c r="GM36">
        <f t="shared" si="57"/>
        <v>405</v>
      </c>
      <c r="GN36">
        <f t="shared" si="58"/>
        <v>405</v>
      </c>
      <c r="GO36">
        <f t="shared" si="59"/>
        <v>0</v>
      </c>
      <c r="GP36">
        <f t="shared" si="60"/>
        <v>0</v>
      </c>
      <c r="GR36">
        <v>0</v>
      </c>
      <c r="GS36">
        <v>3</v>
      </c>
      <c r="GT36">
        <v>0</v>
      </c>
      <c r="GU36" t="s">
        <v>3</v>
      </c>
      <c r="GV36">
        <f t="shared" si="61"/>
        <v>0</v>
      </c>
      <c r="GW36">
        <v>1</v>
      </c>
      <c r="GX36">
        <f t="shared" si="62"/>
        <v>0</v>
      </c>
      <c r="HA36">
        <v>0</v>
      </c>
      <c r="HB36">
        <v>0</v>
      </c>
      <c r="HC36">
        <f t="shared" si="63"/>
        <v>0</v>
      </c>
      <c r="IK36">
        <v>0</v>
      </c>
    </row>
    <row r="37" spans="1:245" x14ac:dyDescent="0.2">
      <c r="A37">
        <v>17</v>
      </c>
      <c r="B37">
        <v>1</v>
      </c>
      <c r="C37">
        <f>ROW(SmtRes!A11)</f>
        <v>11</v>
      </c>
      <c r="D37">
        <f>ROW(EtalonRes!A11)</f>
        <v>11</v>
      </c>
      <c r="E37" t="s">
        <v>56</v>
      </c>
      <c r="F37" t="s">
        <v>57</v>
      </c>
      <c r="G37" t="s">
        <v>58</v>
      </c>
      <c r="H37" t="s">
        <v>59</v>
      </c>
      <c r="I37">
        <f>ROUND((2340.67*0.08+540.6*0.26+376.72*0.26)/1000,4)</f>
        <v>0.42580000000000001</v>
      </c>
      <c r="J37">
        <v>0</v>
      </c>
      <c r="O37">
        <f t="shared" si="28"/>
        <v>2056</v>
      </c>
      <c r="P37">
        <f t="shared" si="29"/>
        <v>2</v>
      </c>
      <c r="Q37">
        <f t="shared" si="30"/>
        <v>2019</v>
      </c>
      <c r="R37">
        <f t="shared" si="31"/>
        <v>234</v>
      </c>
      <c r="S37">
        <f t="shared" si="32"/>
        <v>35</v>
      </c>
      <c r="T37">
        <f t="shared" si="33"/>
        <v>0</v>
      </c>
      <c r="U37">
        <f t="shared" si="34"/>
        <v>5.5871347</v>
      </c>
      <c r="V37">
        <f t="shared" si="35"/>
        <v>17.612152500000001</v>
      </c>
      <c r="W37">
        <f t="shared" si="36"/>
        <v>0</v>
      </c>
      <c r="X37">
        <f t="shared" si="37"/>
        <v>256</v>
      </c>
      <c r="Y37">
        <f t="shared" si="38"/>
        <v>116</v>
      </c>
      <c r="AA37">
        <v>50210945</v>
      </c>
      <c r="AB37">
        <f t="shared" si="39"/>
        <v>4829.5</v>
      </c>
      <c r="AC37">
        <f t="shared" si="40"/>
        <v>4.8</v>
      </c>
      <c r="AD37">
        <f>ROUND(((((ET37*1.25))-((EU37*1.25)))+AE37),1)</f>
        <v>4741.3999999999996</v>
      </c>
      <c r="AE37">
        <f>ROUND(((EU37*1.25)),1)</f>
        <v>548.5</v>
      </c>
      <c r="AF37">
        <f>ROUND(((EV37*1.15)),1)</f>
        <v>83.3</v>
      </c>
      <c r="AG37">
        <f t="shared" si="41"/>
        <v>0</v>
      </c>
      <c r="AH37">
        <f>((EW37*1.15))</f>
        <v>13.121499999999999</v>
      </c>
      <c r="AI37">
        <f>((EX37*1.25))</f>
        <v>41.362500000000004</v>
      </c>
      <c r="AJ37">
        <f t="shared" si="43"/>
        <v>0</v>
      </c>
      <c r="AK37">
        <v>3870.4</v>
      </c>
      <c r="AL37">
        <v>4.84</v>
      </c>
      <c r="AM37">
        <v>3793.11</v>
      </c>
      <c r="AN37">
        <v>438.77</v>
      </c>
      <c r="AO37">
        <v>72.45</v>
      </c>
      <c r="AP37">
        <v>0</v>
      </c>
      <c r="AQ37">
        <v>11.41</v>
      </c>
      <c r="AR37">
        <v>33.090000000000003</v>
      </c>
      <c r="AS37">
        <v>0</v>
      </c>
      <c r="AT37">
        <v>95</v>
      </c>
      <c r="AU37">
        <v>43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1</v>
      </c>
      <c r="BJ37" t="s">
        <v>60</v>
      </c>
      <c r="BM37">
        <v>1001</v>
      </c>
      <c r="BN37">
        <v>0</v>
      </c>
      <c r="BO37" t="s">
        <v>3</v>
      </c>
      <c r="BP37">
        <v>0</v>
      </c>
      <c r="BQ37">
        <v>2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95</v>
      </c>
      <c r="CA37">
        <v>50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4"/>
        <v>2056</v>
      </c>
      <c r="CQ37">
        <f t="shared" si="45"/>
        <v>4.8</v>
      </c>
      <c r="CR37">
        <f t="shared" si="46"/>
        <v>4741.3999999999996</v>
      </c>
      <c r="CS37">
        <f t="shared" si="47"/>
        <v>548.5</v>
      </c>
      <c r="CT37">
        <f t="shared" si="48"/>
        <v>83.3</v>
      </c>
      <c r="CU37">
        <f t="shared" si="49"/>
        <v>0</v>
      </c>
      <c r="CV37">
        <f t="shared" si="50"/>
        <v>13.121499999999999</v>
      </c>
      <c r="CW37">
        <f t="shared" si="51"/>
        <v>41.362500000000004</v>
      </c>
      <c r="CX37">
        <f t="shared" si="52"/>
        <v>0</v>
      </c>
      <c r="CY37">
        <f t="shared" si="53"/>
        <v>255.55</v>
      </c>
      <c r="CZ37">
        <f t="shared" si="54"/>
        <v>115.67</v>
      </c>
      <c r="DC37" t="s">
        <v>3</v>
      </c>
      <c r="DD37" t="s">
        <v>3</v>
      </c>
      <c r="DE37" t="s">
        <v>61</v>
      </c>
      <c r="DF37" t="s">
        <v>61</v>
      </c>
      <c r="DG37" t="s">
        <v>62</v>
      </c>
      <c r="DH37" t="s">
        <v>3</v>
      </c>
      <c r="DI37" t="s">
        <v>62</v>
      </c>
      <c r="DJ37" t="s">
        <v>61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1007</v>
      </c>
      <c r="DV37" t="s">
        <v>59</v>
      </c>
      <c r="DW37" t="s">
        <v>59</v>
      </c>
      <c r="DX37">
        <v>1000</v>
      </c>
      <c r="EE37">
        <v>48752189</v>
      </c>
      <c r="EF37">
        <v>2</v>
      </c>
      <c r="EG37" t="s">
        <v>30</v>
      </c>
      <c r="EH37">
        <v>0</v>
      </c>
      <c r="EI37" t="s">
        <v>3</v>
      </c>
      <c r="EJ37">
        <v>1</v>
      </c>
      <c r="EK37">
        <v>1001</v>
      </c>
      <c r="EL37" t="s">
        <v>63</v>
      </c>
      <c r="EM37" t="s">
        <v>32</v>
      </c>
      <c r="EO37" t="s">
        <v>3</v>
      </c>
      <c r="EQ37">
        <v>131072</v>
      </c>
      <c r="ER37">
        <v>3870.4</v>
      </c>
      <c r="ES37">
        <v>4.84</v>
      </c>
      <c r="ET37">
        <v>3793.11</v>
      </c>
      <c r="EU37">
        <v>438.77</v>
      </c>
      <c r="EV37">
        <v>72.45</v>
      </c>
      <c r="EW37">
        <v>11.41</v>
      </c>
      <c r="EX37">
        <v>33.090000000000003</v>
      </c>
      <c r="EY37">
        <v>0</v>
      </c>
      <c r="FQ37">
        <v>0</v>
      </c>
      <c r="FR37">
        <f t="shared" si="55"/>
        <v>0</v>
      </c>
      <c r="FS37">
        <v>0</v>
      </c>
      <c r="FU37" t="s">
        <v>33</v>
      </c>
      <c r="FX37">
        <v>95</v>
      </c>
      <c r="FY37">
        <v>42.5</v>
      </c>
      <c r="GA37" t="s">
        <v>3</v>
      </c>
      <c r="GD37">
        <v>1</v>
      </c>
      <c r="GF37">
        <v>476899395</v>
      </c>
      <c r="GG37">
        <v>2</v>
      </c>
      <c r="GH37">
        <v>0</v>
      </c>
      <c r="GI37">
        <v>0</v>
      </c>
      <c r="GJ37">
        <v>0</v>
      </c>
      <c r="GK37">
        <v>0</v>
      </c>
      <c r="GL37">
        <f t="shared" si="56"/>
        <v>0</v>
      </c>
      <c r="GM37">
        <f t="shared" si="57"/>
        <v>2428</v>
      </c>
      <c r="GN37">
        <f t="shared" si="58"/>
        <v>2428</v>
      </c>
      <c r="GO37">
        <f t="shared" si="59"/>
        <v>0</v>
      </c>
      <c r="GP37">
        <f t="shared" si="60"/>
        <v>0</v>
      </c>
      <c r="GR37">
        <v>0</v>
      </c>
      <c r="GS37">
        <v>0</v>
      </c>
      <c r="GT37">
        <v>0</v>
      </c>
      <c r="GU37" t="s">
        <v>3</v>
      </c>
      <c r="GV37">
        <f t="shared" si="61"/>
        <v>0</v>
      </c>
      <c r="GW37">
        <v>1</v>
      </c>
      <c r="GX37">
        <f t="shared" si="62"/>
        <v>0</v>
      </c>
      <c r="HA37">
        <v>0</v>
      </c>
      <c r="HB37">
        <v>0</v>
      </c>
      <c r="HC37">
        <f t="shared" si="63"/>
        <v>0</v>
      </c>
      <c r="IK37">
        <v>0</v>
      </c>
    </row>
    <row r="38" spans="1:245" x14ac:dyDescent="0.2">
      <c r="A38">
        <v>17</v>
      </c>
      <c r="B38">
        <v>1</v>
      </c>
      <c r="E38" t="s">
        <v>64</v>
      </c>
      <c r="F38" t="s">
        <v>65</v>
      </c>
      <c r="G38" t="s">
        <v>66</v>
      </c>
      <c r="H38" t="s">
        <v>37</v>
      </c>
      <c r="I38">
        <f>ROUND(I37*1000*1.5,4)</f>
        <v>638.70000000000005</v>
      </c>
      <c r="J38">
        <v>0</v>
      </c>
      <c r="O38">
        <f t="shared" si="28"/>
        <v>4279</v>
      </c>
      <c r="P38">
        <f t="shared" si="29"/>
        <v>0</v>
      </c>
      <c r="Q38">
        <f t="shared" si="30"/>
        <v>4279</v>
      </c>
      <c r="R38">
        <f t="shared" si="31"/>
        <v>0</v>
      </c>
      <c r="S38">
        <f t="shared" si="32"/>
        <v>0</v>
      </c>
      <c r="T38">
        <f t="shared" si="33"/>
        <v>0</v>
      </c>
      <c r="U38">
        <f t="shared" si="34"/>
        <v>0</v>
      </c>
      <c r="V38">
        <f t="shared" si="35"/>
        <v>0</v>
      </c>
      <c r="W38">
        <f t="shared" si="36"/>
        <v>0</v>
      </c>
      <c r="X38">
        <f t="shared" si="37"/>
        <v>0</v>
      </c>
      <c r="Y38">
        <f t="shared" si="38"/>
        <v>0</v>
      </c>
      <c r="AA38">
        <v>50210945</v>
      </c>
      <c r="AB38">
        <f t="shared" si="39"/>
        <v>6.7</v>
      </c>
      <c r="AC38">
        <f t="shared" si="40"/>
        <v>0</v>
      </c>
      <c r="AD38">
        <f>ROUND(((ET38)+ROUND(((EU38)*1.85),2)),1)</f>
        <v>6.7</v>
      </c>
      <c r="AE38">
        <f>ROUND(((EU38)+ROUND(((EU38)*1.85),2)),1)</f>
        <v>0</v>
      </c>
      <c r="AF38">
        <f>ROUND(((EV38)+ROUND(((EV38)*1.85),2)),1)</f>
        <v>0</v>
      </c>
      <c r="AG38">
        <f t="shared" si="41"/>
        <v>0</v>
      </c>
      <c r="AH38">
        <f t="shared" ref="AH38:AI43" si="64">(EW38)</f>
        <v>0</v>
      </c>
      <c r="AI38">
        <f t="shared" si="64"/>
        <v>0</v>
      </c>
      <c r="AJ38">
        <f t="shared" si="43"/>
        <v>0</v>
      </c>
      <c r="AK38">
        <v>6.65</v>
      </c>
      <c r="AL38">
        <v>0</v>
      </c>
      <c r="AM38">
        <v>6.65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1</v>
      </c>
      <c r="BJ38" t="s">
        <v>67</v>
      </c>
      <c r="BM38">
        <v>700001</v>
      </c>
      <c r="BN38">
        <v>0</v>
      </c>
      <c r="BO38" t="s">
        <v>3</v>
      </c>
      <c r="BP38">
        <v>0</v>
      </c>
      <c r="BQ38">
        <v>10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0</v>
      </c>
      <c r="CA38">
        <v>0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4"/>
        <v>4279</v>
      </c>
      <c r="CQ38">
        <f t="shared" si="45"/>
        <v>0</v>
      </c>
      <c r="CR38">
        <f t="shared" si="46"/>
        <v>6.7</v>
      </c>
      <c r="CS38">
        <f t="shared" si="47"/>
        <v>0</v>
      </c>
      <c r="CT38">
        <f t="shared" si="48"/>
        <v>0</v>
      </c>
      <c r="CU38">
        <f t="shared" si="49"/>
        <v>0</v>
      </c>
      <c r="CV38">
        <f t="shared" si="50"/>
        <v>0</v>
      </c>
      <c r="CW38">
        <f t="shared" si="51"/>
        <v>0</v>
      </c>
      <c r="CX38">
        <f t="shared" si="52"/>
        <v>0</v>
      </c>
      <c r="CY38">
        <f t="shared" si="53"/>
        <v>0</v>
      </c>
      <c r="CZ38">
        <f t="shared" si="54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37</v>
      </c>
      <c r="DW38" t="s">
        <v>37</v>
      </c>
      <c r="DX38">
        <v>1</v>
      </c>
      <c r="EE38">
        <v>48752153</v>
      </c>
      <c r="EF38">
        <v>10</v>
      </c>
      <c r="EG38" t="s">
        <v>46</v>
      </c>
      <c r="EH38">
        <v>0</v>
      </c>
      <c r="EI38" t="s">
        <v>3</v>
      </c>
      <c r="EJ38">
        <v>1</v>
      </c>
      <c r="EK38">
        <v>700001</v>
      </c>
      <c r="EL38" t="s">
        <v>47</v>
      </c>
      <c r="EM38" t="s">
        <v>48</v>
      </c>
      <c r="EO38" t="s">
        <v>3</v>
      </c>
      <c r="EQ38">
        <v>131072</v>
      </c>
      <c r="ER38">
        <v>6.65</v>
      </c>
      <c r="ES38">
        <v>0</v>
      </c>
      <c r="ET38">
        <v>6.65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55"/>
        <v>0</v>
      </c>
      <c r="FS38">
        <v>0</v>
      </c>
      <c r="FX38">
        <v>0</v>
      </c>
      <c r="FY38">
        <v>0</v>
      </c>
      <c r="GA38" t="s">
        <v>3</v>
      </c>
      <c r="GD38">
        <v>1</v>
      </c>
      <c r="GF38">
        <v>-811322024</v>
      </c>
      <c r="GG38">
        <v>2</v>
      </c>
      <c r="GH38">
        <v>0</v>
      </c>
      <c r="GI38">
        <v>0</v>
      </c>
      <c r="GJ38">
        <v>0</v>
      </c>
      <c r="GK38">
        <v>0</v>
      </c>
      <c r="GL38">
        <f t="shared" si="56"/>
        <v>0</v>
      </c>
      <c r="GM38">
        <f t="shared" si="57"/>
        <v>4279</v>
      </c>
      <c r="GN38">
        <f t="shared" si="58"/>
        <v>4279</v>
      </c>
      <c r="GO38">
        <f t="shared" si="59"/>
        <v>0</v>
      </c>
      <c r="GP38">
        <f t="shared" si="60"/>
        <v>0</v>
      </c>
      <c r="GR38">
        <v>0</v>
      </c>
      <c r="GS38">
        <v>0</v>
      </c>
      <c r="GT38">
        <v>0</v>
      </c>
      <c r="GU38" t="s">
        <v>3</v>
      </c>
      <c r="GV38">
        <f t="shared" si="61"/>
        <v>0</v>
      </c>
      <c r="GW38">
        <v>1</v>
      </c>
      <c r="GX38">
        <f t="shared" si="62"/>
        <v>0</v>
      </c>
      <c r="HA38">
        <v>0</v>
      </c>
      <c r="HB38">
        <v>0</v>
      </c>
      <c r="HC38">
        <f t="shared" si="63"/>
        <v>0</v>
      </c>
      <c r="HD38">
        <f>GM38</f>
        <v>4279</v>
      </c>
      <c r="IK38">
        <v>0</v>
      </c>
    </row>
    <row r="39" spans="1:245" x14ac:dyDescent="0.2">
      <c r="A39">
        <v>17</v>
      </c>
      <c r="B39">
        <v>1</v>
      </c>
      <c r="C39">
        <f>ROW(SmtRes!A18)</f>
        <v>18</v>
      </c>
      <c r="D39">
        <f>ROW(EtalonRes!A18)</f>
        <v>18</v>
      </c>
      <c r="E39" t="s">
        <v>68</v>
      </c>
      <c r="F39" t="s">
        <v>69</v>
      </c>
      <c r="G39" t="s">
        <v>70</v>
      </c>
      <c r="H39" t="s">
        <v>71</v>
      </c>
      <c r="I39">
        <f>ROUND(2340.67/100,4)</f>
        <v>23.406700000000001</v>
      </c>
      <c r="J39">
        <v>0</v>
      </c>
      <c r="O39">
        <f t="shared" si="28"/>
        <v>16705</v>
      </c>
      <c r="P39">
        <f t="shared" si="29"/>
        <v>9</v>
      </c>
      <c r="Q39">
        <f t="shared" si="30"/>
        <v>16628</v>
      </c>
      <c r="R39">
        <f t="shared" si="31"/>
        <v>262</v>
      </c>
      <c r="S39">
        <f t="shared" si="32"/>
        <v>68</v>
      </c>
      <c r="T39">
        <f t="shared" si="33"/>
        <v>0</v>
      </c>
      <c r="U39">
        <f t="shared" si="34"/>
        <v>9.8308140000000002</v>
      </c>
      <c r="V39">
        <f t="shared" si="35"/>
        <v>21.300097000000001</v>
      </c>
      <c r="W39">
        <f t="shared" si="36"/>
        <v>0</v>
      </c>
      <c r="X39">
        <f t="shared" si="37"/>
        <v>469</v>
      </c>
      <c r="Y39">
        <f t="shared" si="38"/>
        <v>267</v>
      </c>
      <c r="AA39">
        <v>50210945</v>
      </c>
      <c r="AB39">
        <f t="shared" si="39"/>
        <v>713.7</v>
      </c>
      <c r="AC39">
        <f t="shared" si="40"/>
        <v>0.4</v>
      </c>
      <c r="AD39">
        <f>ROUND((((ET39)-(EU39))+AE39),1)</f>
        <v>710.4</v>
      </c>
      <c r="AE39">
        <f>ROUND((EU39),1)</f>
        <v>11.2</v>
      </c>
      <c r="AF39">
        <f>ROUND((EV39),1)</f>
        <v>2.9</v>
      </c>
      <c r="AG39">
        <f t="shared" si="41"/>
        <v>0</v>
      </c>
      <c r="AH39">
        <f t="shared" si="64"/>
        <v>0.42</v>
      </c>
      <c r="AI39">
        <f t="shared" si="64"/>
        <v>0.91</v>
      </c>
      <c r="AJ39">
        <f t="shared" si="43"/>
        <v>0</v>
      </c>
      <c r="AK39">
        <v>713.69</v>
      </c>
      <c r="AL39">
        <v>0.4</v>
      </c>
      <c r="AM39">
        <v>710.4</v>
      </c>
      <c r="AN39">
        <v>11.18</v>
      </c>
      <c r="AO39">
        <v>2.89</v>
      </c>
      <c r="AP39">
        <v>0</v>
      </c>
      <c r="AQ39">
        <v>0.42</v>
      </c>
      <c r="AR39">
        <v>0.91</v>
      </c>
      <c r="AS39">
        <v>0</v>
      </c>
      <c r="AT39">
        <v>142</v>
      </c>
      <c r="AU39">
        <v>81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1</v>
      </c>
      <c r="BJ39" t="s">
        <v>72</v>
      </c>
      <c r="BM39">
        <v>27001</v>
      </c>
      <c r="BN39">
        <v>0</v>
      </c>
      <c r="BO39" t="s">
        <v>3</v>
      </c>
      <c r="BP39">
        <v>0</v>
      </c>
      <c r="BQ39">
        <v>2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142</v>
      </c>
      <c r="CA39">
        <v>95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4"/>
        <v>16705</v>
      </c>
      <c r="CQ39">
        <f t="shared" si="45"/>
        <v>0.4</v>
      </c>
      <c r="CR39">
        <f t="shared" si="46"/>
        <v>710.4</v>
      </c>
      <c r="CS39">
        <f t="shared" si="47"/>
        <v>11.2</v>
      </c>
      <c r="CT39">
        <f t="shared" si="48"/>
        <v>2.9</v>
      </c>
      <c r="CU39">
        <f t="shared" si="49"/>
        <v>0</v>
      </c>
      <c r="CV39">
        <f t="shared" si="50"/>
        <v>0.42</v>
      </c>
      <c r="CW39">
        <f t="shared" si="51"/>
        <v>0.91</v>
      </c>
      <c r="CX39">
        <f t="shared" si="52"/>
        <v>0</v>
      </c>
      <c r="CY39">
        <f t="shared" si="53"/>
        <v>468.6</v>
      </c>
      <c r="CZ39">
        <f t="shared" si="54"/>
        <v>267.3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71</v>
      </c>
      <c r="DW39" t="s">
        <v>71</v>
      </c>
      <c r="DX39">
        <v>1</v>
      </c>
      <c r="EE39">
        <v>48752256</v>
      </c>
      <c r="EF39">
        <v>2</v>
      </c>
      <c r="EG39" t="s">
        <v>30</v>
      </c>
      <c r="EH39">
        <v>0</v>
      </c>
      <c r="EI39" t="s">
        <v>3</v>
      </c>
      <c r="EJ39">
        <v>1</v>
      </c>
      <c r="EK39">
        <v>27001</v>
      </c>
      <c r="EL39" t="s">
        <v>73</v>
      </c>
      <c r="EM39" t="s">
        <v>74</v>
      </c>
      <c r="EO39" t="s">
        <v>3</v>
      </c>
      <c r="EQ39">
        <v>131072</v>
      </c>
      <c r="ER39">
        <v>713.69</v>
      </c>
      <c r="ES39">
        <v>0.4</v>
      </c>
      <c r="ET39">
        <v>710.4</v>
      </c>
      <c r="EU39">
        <v>11.18</v>
      </c>
      <c r="EV39">
        <v>2.89</v>
      </c>
      <c r="EW39">
        <v>0.42</v>
      </c>
      <c r="EX39">
        <v>0.91</v>
      </c>
      <c r="EY39">
        <v>0</v>
      </c>
      <c r="FQ39">
        <v>0</v>
      </c>
      <c r="FR39">
        <f t="shared" si="55"/>
        <v>0</v>
      </c>
      <c r="FS39">
        <v>0</v>
      </c>
      <c r="FU39" t="s">
        <v>33</v>
      </c>
      <c r="FX39">
        <v>142</v>
      </c>
      <c r="FY39">
        <v>80.75</v>
      </c>
      <c r="GA39" t="s">
        <v>3</v>
      </c>
      <c r="GD39">
        <v>1</v>
      </c>
      <c r="GF39">
        <v>15912649</v>
      </c>
      <c r="GG39">
        <v>2</v>
      </c>
      <c r="GH39">
        <v>0</v>
      </c>
      <c r="GI39">
        <v>0</v>
      </c>
      <c r="GJ39">
        <v>0</v>
      </c>
      <c r="GK39">
        <v>0</v>
      </c>
      <c r="GL39">
        <f t="shared" si="56"/>
        <v>0</v>
      </c>
      <c r="GM39">
        <f t="shared" si="57"/>
        <v>17441</v>
      </c>
      <c r="GN39">
        <f t="shared" si="58"/>
        <v>17441</v>
      </c>
      <c r="GO39">
        <f t="shared" si="59"/>
        <v>0</v>
      </c>
      <c r="GP39">
        <f t="shared" si="60"/>
        <v>0</v>
      </c>
      <c r="GR39">
        <v>0</v>
      </c>
      <c r="GS39">
        <v>0</v>
      </c>
      <c r="GT39">
        <v>0</v>
      </c>
      <c r="GU39" t="s">
        <v>3</v>
      </c>
      <c r="GV39">
        <f t="shared" si="61"/>
        <v>0</v>
      </c>
      <c r="GW39">
        <v>1</v>
      </c>
      <c r="GX39">
        <f t="shared" si="62"/>
        <v>0</v>
      </c>
      <c r="HA39">
        <v>0</v>
      </c>
      <c r="HB39">
        <v>0</v>
      </c>
      <c r="HC39">
        <f t="shared" si="63"/>
        <v>0</v>
      </c>
      <c r="IK39">
        <v>0</v>
      </c>
    </row>
    <row r="40" spans="1:245" x14ac:dyDescent="0.2">
      <c r="A40">
        <v>17</v>
      </c>
      <c r="B40">
        <v>1</v>
      </c>
      <c r="C40">
        <f>ROW(SmtRes!A22)</f>
        <v>22</v>
      </c>
      <c r="D40">
        <f>ROW(EtalonRes!A22)</f>
        <v>22</v>
      </c>
      <c r="E40" t="s">
        <v>75</v>
      </c>
      <c r="F40" t="s">
        <v>76</v>
      </c>
      <c r="G40" t="s">
        <v>77</v>
      </c>
      <c r="H40" t="s">
        <v>78</v>
      </c>
      <c r="I40">
        <f>ROUND(437.3/100,4)</f>
        <v>4.3730000000000002</v>
      </c>
      <c r="J40">
        <v>0</v>
      </c>
      <c r="O40">
        <f t="shared" si="28"/>
        <v>5980</v>
      </c>
      <c r="P40">
        <f t="shared" si="29"/>
        <v>0</v>
      </c>
      <c r="Q40">
        <f t="shared" si="30"/>
        <v>3881</v>
      </c>
      <c r="R40">
        <f t="shared" si="31"/>
        <v>406</v>
      </c>
      <c r="S40">
        <f t="shared" si="32"/>
        <v>2099</v>
      </c>
      <c r="T40">
        <f t="shared" si="33"/>
        <v>0</v>
      </c>
      <c r="U40">
        <f t="shared" si="34"/>
        <v>298.50098000000003</v>
      </c>
      <c r="V40">
        <f t="shared" si="35"/>
        <v>41.106200000000001</v>
      </c>
      <c r="W40">
        <f t="shared" si="36"/>
        <v>0</v>
      </c>
      <c r="X40">
        <f t="shared" si="37"/>
        <v>2605</v>
      </c>
      <c r="Y40">
        <f t="shared" si="38"/>
        <v>1503</v>
      </c>
      <c r="AA40">
        <v>50210945</v>
      </c>
      <c r="AB40">
        <f t="shared" si="39"/>
        <v>1367.4</v>
      </c>
      <c r="AC40">
        <f t="shared" si="40"/>
        <v>0</v>
      </c>
      <c r="AD40">
        <f>ROUND((((ET40)-(EU40))+AE40),1)</f>
        <v>887.5</v>
      </c>
      <c r="AE40">
        <f>ROUND((EU40),1)</f>
        <v>92.9</v>
      </c>
      <c r="AF40">
        <f>ROUND((EV40),1)</f>
        <v>479.9</v>
      </c>
      <c r="AG40">
        <f t="shared" si="41"/>
        <v>0</v>
      </c>
      <c r="AH40">
        <f t="shared" si="64"/>
        <v>68.260000000000005</v>
      </c>
      <c r="AI40">
        <f t="shared" si="64"/>
        <v>9.4</v>
      </c>
      <c r="AJ40">
        <f t="shared" si="43"/>
        <v>0</v>
      </c>
      <c r="AK40">
        <v>1367.32</v>
      </c>
      <c r="AL40">
        <v>0</v>
      </c>
      <c r="AM40">
        <v>887.45</v>
      </c>
      <c r="AN40">
        <v>92.87</v>
      </c>
      <c r="AO40">
        <v>479.87</v>
      </c>
      <c r="AP40">
        <v>0</v>
      </c>
      <c r="AQ40">
        <v>68.260000000000005</v>
      </c>
      <c r="AR40">
        <v>9.4</v>
      </c>
      <c r="AS40">
        <v>0</v>
      </c>
      <c r="AT40">
        <v>104</v>
      </c>
      <c r="AU40">
        <v>60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1</v>
      </c>
      <c r="BJ40" t="s">
        <v>79</v>
      </c>
      <c r="BM40">
        <v>68001</v>
      </c>
      <c r="BN40">
        <v>0</v>
      </c>
      <c r="BO40" t="s">
        <v>3</v>
      </c>
      <c r="BP40">
        <v>0</v>
      </c>
      <c r="BQ40">
        <v>6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104</v>
      </c>
      <c r="CA40">
        <v>60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4"/>
        <v>5980</v>
      </c>
      <c r="CQ40">
        <f t="shared" si="45"/>
        <v>0</v>
      </c>
      <c r="CR40">
        <f t="shared" si="46"/>
        <v>887.5</v>
      </c>
      <c r="CS40">
        <f t="shared" si="47"/>
        <v>92.9</v>
      </c>
      <c r="CT40">
        <f t="shared" si="48"/>
        <v>479.9</v>
      </c>
      <c r="CU40">
        <f t="shared" si="49"/>
        <v>0</v>
      </c>
      <c r="CV40">
        <f t="shared" si="50"/>
        <v>68.260000000000005</v>
      </c>
      <c r="CW40">
        <f t="shared" si="51"/>
        <v>9.4</v>
      </c>
      <c r="CX40">
        <f t="shared" si="52"/>
        <v>0</v>
      </c>
      <c r="CY40">
        <f t="shared" si="53"/>
        <v>2605.1999999999998</v>
      </c>
      <c r="CZ40">
        <f t="shared" si="54"/>
        <v>1503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1003</v>
      </c>
      <c r="DV40" t="s">
        <v>78</v>
      </c>
      <c r="DW40" t="s">
        <v>78</v>
      </c>
      <c r="DX40">
        <v>100</v>
      </c>
      <c r="EE40">
        <v>48752341</v>
      </c>
      <c r="EF40">
        <v>6</v>
      </c>
      <c r="EG40" t="s">
        <v>22</v>
      </c>
      <c r="EH40">
        <v>0</v>
      </c>
      <c r="EI40" t="s">
        <v>3</v>
      </c>
      <c r="EJ40">
        <v>1</v>
      </c>
      <c r="EK40">
        <v>68001</v>
      </c>
      <c r="EL40" t="s">
        <v>23</v>
      </c>
      <c r="EM40" t="s">
        <v>24</v>
      </c>
      <c r="EO40" t="s">
        <v>3</v>
      </c>
      <c r="EQ40">
        <v>131072</v>
      </c>
      <c r="ER40">
        <v>1367.32</v>
      </c>
      <c r="ES40">
        <v>0</v>
      </c>
      <c r="ET40">
        <v>887.45</v>
      </c>
      <c r="EU40">
        <v>92.87</v>
      </c>
      <c r="EV40">
        <v>479.87</v>
      </c>
      <c r="EW40">
        <v>68.260000000000005</v>
      </c>
      <c r="EX40">
        <v>9.4</v>
      </c>
      <c r="EY40">
        <v>0</v>
      </c>
      <c r="FQ40">
        <v>0</v>
      </c>
      <c r="FR40">
        <f t="shared" si="55"/>
        <v>0</v>
      </c>
      <c r="FS40">
        <v>0</v>
      </c>
      <c r="FX40">
        <v>104</v>
      </c>
      <c r="FY40">
        <v>60</v>
      </c>
      <c r="GA40" t="s">
        <v>3</v>
      </c>
      <c r="GD40">
        <v>1</v>
      </c>
      <c r="GF40">
        <v>-1519557652</v>
      </c>
      <c r="GG40">
        <v>2</v>
      </c>
      <c r="GH40">
        <v>0</v>
      </c>
      <c r="GI40">
        <v>0</v>
      </c>
      <c r="GJ40">
        <v>0</v>
      </c>
      <c r="GK40">
        <v>0</v>
      </c>
      <c r="GL40">
        <f t="shared" si="56"/>
        <v>0</v>
      </c>
      <c r="GM40">
        <f t="shared" si="57"/>
        <v>10088</v>
      </c>
      <c r="GN40">
        <f t="shared" si="58"/>
        <v>10088</v>
      </c>
      <c r="GO40">
        <f t="shared" si="59"/>
        <v>0</v>
      </c>
      <c r="GP40">
        <f t="shared" si="60"/>
        <v>0</v>
      </c>
      <c r="GR40">
        <v>0</v>
      </c>
      <c r="GS40">
        <v>0</v>
      </c>
      <c r="GT40">
        <v>0</v>
      </c>
      <c r="GU40" t="s">
        <v>3</v>
      </c>
      <c r="GV40">
        <f t="shared" si="61"/>
        <v>0</v>
      </c>
      <c r="GW40">
        <v>1</v>
      </c>
      <c r="GX40">
        <f t="shared" si="62"/>
        <v>0</v>
      </c>
      <c r="HA40">
        <v>0</v>
      </c>
      <c r="HB40">
        <v>0</v>
      </c>
      <c r="HC40">
        <f t="shared" si="63"/>
        <v>0</v>
      </c>
      <c r="IK40">
        <v>0</v>
      </c>
    </row>
    <row r="41" spans="1:245" x14ac:dyDescent="0.2">
      <c r="A41">
        <v>17</v>
      </c>
      <c r="B41">
        <v>1</v>
      </c>
      <c r="E41" t="s">
        <v>80</v>
      </c>
      <c r="F41" t="s">
        <v>81</v>
      </c>
      <c r="G41" t="s">
        <v>82</v>
      </c>
      <c r="H41" t="s">
        <v>37</v>
      </c>
      <c r="I41">
        <f>ROUND(431*0.1+6.3*0.043+0.28*2.4+1*2.5+0.12+0.05,4)</f>
        <v>46.712899999999998</v>
      </c>
      <c r="J41">
        <v>0</v>
      </c>
      <c r="O41">
        <f t="shared" si="28"/>
        <v>163</v>
      </c>
      <c r="P41">
        <f t="shared" si="29"/>
        <v>0</v>
      </c>
      <c r="Q41">
        <f t="shared" si="30"/>
        <v>163</v>
      </c>
      <c r="R41">
        <f t="shared" si="31"/>
        <v>0</v>
      </c>
      <c r="S41">
        <f t="shared" si="32"/>
        <v>0</v>
      </c>
      <c r="T41">
        <f t="shared" si="33"/>
        <v>0</v>
      </c>
      <c r="U41">
        <f t="shared" si="34"/>
        <v>0</v>
      </c>
      <c r="V41">
        <f t="shared" si="35"/>
        <v>0</v>
      </c>
      <c r="W41">
        <f t="shared" si="36"/>
        <v>0</v>
      </c>
      <c r="X41">
        <f t="shared" si="37"/>
        <v>0</v>
      </c>
      <c r="Y41">
        <f t="shared" si="38"/>
        <v>0</v>
      </c>
      <c r="AA41">
        <v>50210945</v>
      </c>
      <c r="AB41">
        <f t="shared" si="39"/>
        <v>3.5</v>
      </c>
      <c r="AC41">
        <f t="shared" si="40"/>
        <v>0</v>
      </c>
      <c r="AD41">
        <f>ROUND(((ET41)+ROUND(((EU41)*1.6),2)),1)</f>
        <v>3.5</v>
      </c>
      <c r="AE41">
        <f>ROUND(((EU41)+ROUND(((EU41)*1.6),2)),1)</f>
        <v>0</v>
      </c>
      <c r="AF41">
        <f>ROUND(((EV41)+ROUND(((EV41)*1.6),2)),1)</f>
        <v>0</v>
      </c>
      <c r="AG41">
        <f t="shared" si="41"/>
        <v>0</v>
      </c>
      <c r="AH41">
        <f t="shared" si="64"/>
        <v>0</v>
      </c>
      <c r="AI41">
        <f t="shared" si="64"/>
        <v>0</v>
      </c>
      <c r="AJ41">
        <f t="shared" si="43"/>
        <v>0</v>
      </c>
      <c r="AK41">
        <v>3.52</v>
      </c>
      <c r="AL41">
        <v>0</v>
      </c>
      <c r="AM41">
        <v>3.52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1</v>
      </c>
      <c r="BJ41" t="s">
        <v>83</v>
      </c>
      <c r="BM41">
        <v>700004</v>
      </c>
      <c r="BN41">
        <v>0</v>
      </c>
      <c r="BO41" t="s">
        <v>3</v>
      </c>
      <c r="BP41">
        <v>0</v>
      </c>
      <c r="BQ41">
        <v>19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0</v>
      </c>
      <c r="CA41">
        <v>0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4"/>
        <v>163</v>
      </c>
      <c r="CQ41">
        <f t="shared" si="45"/>
        <v>0</v>
      </c>
      <c r="CR41">
        <f t="shared" si="46"/>
        <v>3.5</v>
      </c>
      <c r="CS41">
        <f t="shared" si="47"/>
        <v>0</v>
      </c>
      <c r="CT41">
        <f t="shared" si="48"/>
        <v>0</v>
      </c>
      <c r="CU41">
        <f t="shared" si="49"/>
        <v>0</v>
      </c>
      <c r="CV41">
        <f t="shared" si="50"/>
        <v>0</v>
      </c>
      <c r="CW41">
        <f t="shared" si="51"/>
        <v>0</v>
      </c>
      <c r="CX41">
        <f t="shared" si="52"/>
        <v>0</v>
      </c>
      <c r="CY41">
        <f t="shared" si="53"/>
        <v>0</v>
      </c>
      <c r="CZ41">
        <f t="shared" si="54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37</v>
      </c>
      <c r="DW41" t="s">
        <v>37</v>
      </c>
      <c r="DX41">
        <v>1</v>
      </c>
      <c r="EE41">
        <v>48752403</v>
      </c>
      <c r="EF41">
        <v>19</v>
      </c>
      <c r="EG41" t="s">
        <v>39</v>
      </c>
      <c r="EH41">
        <v>0</v>
      </c>
      <c r="EI41" t="s">
        <v>3</v>
      </c>
      <c r="EJ41">
        <v>1</v>
      </c>
      <c r="EK41">
        <v>700004</v>
      </c>
      <c r="EL41" t="s">
        <v>40</v>
      </c>
      <c r="EM41" t="s">
        <v>41</v>
      </c>
      <c r="EO41" t="s">
        <v>3</v>
      </c>
      <c r="EQ41">
        <v>131072</v>
      </c>
      <c r="ER41">
        <v>3.52</v>
      </c>
      <c r="ES41">
        <v>0</v>
      </c>
      <c r="ET41">
        <v>3.52</v>
      </c>
      <c r="EU41">
        <v>0</v>
      </c>
      <c r="EV41">
        <v>0</v>
      </c>
      <c r="EW41">
        <v>0</v>
      </c>
      <c r="EX41">
        <v>0</v>
      </c>
      <c r="EY41">
        <v>0</v>
      </c>
      <c r="FQ41">
        <v>0</v>
      </c>
      <c r="FR41">
        <f t="shared" si="55"/>
        <v>0</v>
      </c>
      <c r="FS41">
        <v>0</v>
      </c>
      <c r="FX41">
        <v>0</v>
      </c>
      <c r="FY41">
        <v>0</v>
      </c>
      <c r="GA41" t="s">
        <v>3</v>
      </c>
      <c r="GD41">
        <v>1</v>
      </c>
      <c r="GF41">
        <v>1664035000</v>
      </c>
      <c r="GG41">
        <v>2</v>
      </c>
      <c r="GH41">
        <v>0</v>
      </c>
      <c r="GI41">
        <v>0</v>
      </c>
      <c r="GJ41">
        <v>0</v>
      </c>
      <c r="GK41">
        <v>0</v>
      </c>
      <c r="GL41">
        <f t="shared" si="56"/>
        <v>0</v>
      </c>
      <c r="GM41">
        <f t="shared" si="57"/>
        <v>163</v>
      </c>
      <c r="GN41">
        <f t="shared" si="58"/>
        <v>163</v>
      </c>
      <c r="GO41">
        <f t="shared" si="59"/>
        <v>0</v>
      </c>
      <c r="GP41">
        <f t="shared" si="60"/>
        <v>0</v>
      </c>
      <c r="GR41">
        <v>0</v>
      </c>
      <c r="GS41">
        <v>0</v>
      </c>
      <c r="GT41">
        <v>0</v>
      </c>
      <c r="GU41" t="s">
        <v>3</v>
      </c>
      <c r="GV41">
        <f t="shared" si="61"/>
        <v>0</v>
      </c>
      <c r="GW41">
        <v>1</v>
      </c>
      <c r="GX41">
        <f t="shared" si="62"/>
        <v>0</v>
      </c>
      <c r="HA41">
        <v>0</v>
      </c>
      <c r="HB41">
        <v>0</v>
      </c>
      <c r="HC41">
        <f t="shared" si="63"/>
        <v>0</v>
      </c>
      <c r="HD41">
        <f>GM41</f>
        <v>163</v>
      </c>
      <c r="IK41">
        <v>0</v>
      </c>
    </row>
    <row r="42" spans="1:245" x14ac:dyDescent="0.2">
      <c r="A42">
        <v>17</v>
      </c>
      <c r="B42">
        <v>1</v>
      </c>
      <c r="E42" t="s">
        <v>84</v>
      </c>
      <c r="F42" t="s">
        <v>85</v>
      </c>
      <c r="G42" t="s">
        <v>86</v>
      </c>
      <c r="H42" t="s">
        <v>37</v>
      </c>
      <c r="I42">
        <f>ROUND(((I39*100*0.08)-(2340.67*0.06*1.26)),4)</f>
        <v>10.2989</v>
      </c>
      <c r="J42">
        <v>0</v>
      </c>
      <c r="O42">
        <f t="shared" si="28"/>
        <v>98</v>
      </c>
      <c r="P42">
        <f t="shared" si="29"/>
        <v>0</v>
      </c>
      <c r="Q42">
        <f t="shared" si="30"/>
        <v>98</v>
      </c>
      <c r="R42">
        <f t="shared" si="31"/>
        <v>0</v>
      </c>
      <c r="S42">
        <f t="shared" si="32"/>
        <v>0</v>
      </c>
      <c r="T42">
        <f t="shared" si="33"/>
        <v>0</v>
      </c>
      <c r="U42">
        <f t="shared" si="34"/>
        <v>0</v>
      </c>
      <c r="V42">
        <f t="shared" si="35"/>
        <v>0</v>
      </c>
      <c r="W42">
        <f t="shared" si="36"/>
        <v>0</v>
      </c>
      <c r="X42">
        <f t="shared" si="37"/>
        <v>0</v>
      </c>
      <c r="Y42">
        <f t="shared" si="38"/>
        <v>0</v>
      </c>
      <c r="AA42">
        <v>50210945</v>
      </c>
      <c r="AB42">
        <f t="shared" si="39"/>
        <v>9.5</v>
      </c>
      <c r="AC42">
        <f t="shared" si="40"/>
        <v>0</v>
      </c>
      <c r="AD42">
        <f>ROUND(((ET42)+ROUND(((EU42)*1.85),2)),1)</f>
        <v>9.5</v>
      </c>
      <c r="AE42">
        <f>ROUND(((EU42)+ROUND(((EU42)*1.85),2)),1)</f>
        <v>0</v>
      </c>
      <c r="AF42">
        <f>ROUND(((EV42)+ROUND(((EV42)*1.85),2)),1)</f>
        <v>0</v>
      </c>
      <c r="AG42">
        <f t="shared" si="41"/>
        <v>0</v>
      </c>
      <c r="AH42">
        <f t="shared" si="64"/>
        <v>0</v>
      </c>
      <c r="AI42">
        <f t="shared" si="64"/>
        <v>0</v>
      </c>
      <c r="AJ42">
        <f t="shared" si="43"/>
        <v>0</v>
      </c>
      <c r="AK42">
        <v>9.4700000000000006</v>
      </c>
      <c r="AL42">
        <v>0</v>
      </c>
      <c r="AM42">
        <v>9.4700000000000006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1</v>
      </c>
      <c r="BJ42" t="s">
        <v>87</v>
      </c>
      <c r="BM42">
        <v>700001</v>
      </c>
      <c r="BN42">
        <v>0</v>
      </c>
      <c r="BO42" t="s">
        <v>3</v>
      </c>
      <c r="BP42">
        <v>0</v>
      </c>
      <c r="BQ42">
        <v>10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0</v>
      </c>
      <c r="CA42">
        <v>0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4"/>
        <v>98</v>
      </c>
      <c r="CQ42">
        <f t="shared" si="45"/>
        <v>0</v>
      </c>
      <c r="CR42">
        <f t="shared" si="46"/>
        <v>9.5</v>
      </c>
      <c r="CS42">
        <f t="shared" si="47"/>
        <v>0</v>
      </c>
      <c r="CT42">
        <f t="shared" si="48"/>
        <v>0</v>
      </c>
      <c r="CU42">
        <f t="shared" si="49"/>
        <v>0</v>
      </c>
      <c r="CV42">
        <f t="shared" si="50"/>
        <v>0</v>
      </c>
      <c r="CW42">
        <f t="shared" si="51"/>
        <v>0</v>
      </c>
      <c r="CX42">
        <f t="shared" si="52"/>
        <v>0</v>
      </c>
      <c r="CY42">
        <f t="shared" si="53"/>
        <v>0</v>
      </c>
      <c r="CZ42">
        <f t="shared" si="54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1013</v>
      </c>
      <c r="DV42" t="s">
        <v>37</v>
      </c>
      <c r="DW42" t="s">
        <v>37</v>
      </c>
      <c r="DX42">
        <v>1</v>
      </c>
      <c r="EE42">
        <v>48752153</v>
      </c>
      <c r="EF42">
        <v>10</v>
      </c>
      <c r="EG42" t="s">
        <v>46</v>
      </c>
      <c r="EH42">
        <v>0</v>
      </c>
      <c r="EI42" t="s">
        <v>3</v>
      </c>
      <c r="EJ42">
        <v>1</v>
      </c>
      <c r="EK42">
        <v>700001</v>
      </c>
      <c r="EL42" t="s">
        <v>47</v>
      </c>
      <c r="EM42" t="s">
        <v>48</v>
      </c>
      <c r="EO42" t="s">
        <v>3</v>
      </c>
      <c r="EQ42">
        <v>131072</v>
      </c>
      <c r="ER42">
        <v>9.4700000000000006</v>
      </c>
      <c r="ES42">
        <v>0</v>
      </c>
      <c r="ET42">
        <v>9.4700000000000006</v>
      </c>
      <c r="EU42">
        <v>0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55"/>
        <v>0</v>
      </c>
      <c r="FS42">
        <v>0</v>
      </c>
      <c r="FX42">
        <v>0</v>
      </c>
      <c r="FY42">
        <v>0</v>
      </c>
      <c r="GA42" t="s">
        <v>3</v>
      </c>
      <c r="GD42">
        <v>1</v>
      </c>
      <c r="GF42">
        <v>-936439208</v>
      </c>
      <c r="GG42">
        <v>2</v>
      </c>
      <c r="GH42">
        <v>0</v>
      </c>
      <c r="GI42">
        <v>0</v>
      </c>
      <c r="GJ42">
        <v>0</v>
      </c>
      <c r="GK42">
        <v>0</v>
      </c>
      <c r="GL42">
        <f t="shared" si="56"/>
        <v>0</v>
      </c>
      <c r="GM42">
        <f t="shared" si="57"/>
        <v>98</v>
      </c>
      <c r="GN42">
        <f t="shared" si="58"/>
        <v>98</v>
      </c>
      <c r="GO42">
        <f t="shared" si="59"/>
        <v>0</v>
      </c>
      <c r="GP42">
        <f t="shared" si="60"/>
        <v>0</v>
      </c>
      <c r="GR42">
        <v>0</v>
      </c>
      <c r="GS42">
        <v>0</v>
      </c>
      <c r="GT42">
        <v>0</v>
      </c>
      <c r="GU42" t="s">
        <v>3</v>
      </c>
      <c r="GV42">
        <f t="shared" si="61"/>
        <v>0</v>
      </c>
      <c r="GW42">
        <v>1</v>
      </c>
      <c r="GX42">
        <f t="shared" si="62"/>
        <v>0</v>
      </c>
      <c r="HA42">
        <v>0</v>
      </c>
      <c r="HB42">
        <v>0</v>
      </c>
      <c r="HC42">
        <f t="shared" si="63"/>
        <v>0</v>
      </c>
      <c r="HD42">
        <f>GM42</f>
        <v>98</v>
      </c>
      <c r="IK42">
        <v>0</v>
      </c>
    </row>
    <row r="43" spans="1:245" x14ac:dyDescent="0.2">
      <c r="A43">
        <v>17</v>
      </c>
      <c r="B43">
        <v>1</v>
      </c>
      <c r="E43" t="s">
        <v>88</v>
      </c>
      <c r="F43" t="s">
        <v>43</v>
      </c>
      <c r="G43" t="s">
        <v>44</v>
      </c>
      <c r="H43" t="s">
        <v>37</v>
      </c>
      <c r="I43">
        <f>ROUND(I41,4)</f>
        <v>46.712899999999998</v>
      </c>
      <c r="J43">
        <v>0</v>
      </c>
      <c r="O43">
        <f t="shared" si="28"/>
        <v>897</v>
      </c>
      <c r="P43">
        <f t="shared" si="29"/>
        <v>0</v>
      </c>
      <c r="Q43">
        <f t="shared" si="30"/>
        <v>897</v>
      </c>
      <c r="R43">
        <f t="shared" si="31"/>
        <v>0</v>
      </c>
      <c r="S43">
        <f t="shared" si="32"/>
        <v>0</v>
      </c>
      <c r="T43">
        <f t="shared" si="33"/>
        <v>0</v>
      </c>
      <c r="U43">
        <f t="shared" si="34"/>
        <v>0</v>
      </c>
      <c r="V43">
        <f t="shared" si="35"/>
        <v>0</v>
      </c>
      <c r="W43">
        <f t="shared" si="36"/>
        <v>0</v>
      </c>
      <c r="X43">
        <f t="shared" si="37"/>
        <v>0</v>
      </c>
      <c r="Y43">
        <f t="shared" si="38"/>
        <v>0</v>
      </c>
      <c r="AA43">
        <v>50210945</v>
      </c>
      <c r="AB43">
        <f t="shared" si="39"/>
        <v>19.2</v>
      </c>
      <c r="AC43">
        <f t="shared" si="40"/>
        <v>0</v>
      </c>
      <c r="AD43">
        <f>ROUND(((ET43)+ROUND(((EU43)*1.85),2)),1)</f>
        <v>19.2</v>
      </c>
      <c r="AE43">
        <f>ROUND(((EU43)+ROUND(((EU43)*1.85),2)),1)</f>
        <v>0</v>
      </c>
      <c r="AF43">
        <f>ROUND(((EV43)+ROUND(((EV43)*1.85),2)),1)</f>
        <v>0</v>
      </c>
      <c r="AG43">
        <f t="shared" si="41"/>
        <v>0</v>
      </c>
      <c r="AH43">
        <f t="shared" si="64"/>
        <v>0</v>
      </c>
      <c r="AI43">
        <f t="shared" si="64"/>
        <v>0</v>
      </c>
      <c r="AJ43">
        <f t="shared" si="43"/>
        <v>0</v>
      </c>
      <c r="AK43">
        <v>19.170000000000002</v>
      </c>
      <c r="AL43">
        <v>0</v>
      </c>
      <c r="AM43">
        <v>19.170000000000002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1</v>
      </c>
      <c r="BJ43" t="s">
        <v>45</v>
      </c>
      <c r="BM43">
        <v>700001</v>
      </c>
      <c r="BN43">
        <v>0</v>
      </c>
      <c r="BO43" t="s">
        <v>3</v>
      </c>
      <c r="BP43">
        <v>0</v>
      </c>
      <c r="BQ43">
        <v>10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0</v>
      </c>
      <c r="CA43">
        <v>0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4"/>
        <v>897</v>
      </c>
      <c r="CQ43">
        <f t="shared" si="45"/>
        <v>0</v>
      </c>
      <c r="CR43">
        <f t="shared" si="46"/>
        <v>19.2</v>
      </c>
      <c r="CS43">
        <f t="shared" si="47"/>
        <v>0</v>
      </c>
      <c r="CT43">
        <f t="shared" si="48"/>
        <v>0</v>
      </c>
      <c r="CU43">
        <f t="shared" si="49"/>
        <v>0</v>
      </c>
      <c r="CV43">
        <f t="shared" si="50"/>
        <v>0</v>
      </c>
      <c r="CW43">
        <f t="shared" si="51"/>
        <v>0</v>
      </c>
      <c r="CX43">
        <f t="shared" si="52"/>
        <v>0</v>
      </c>
      <c r="CY43">
        <f t="shared" si="53"/>
        <v>0</v>
      </c>
      <c r="CZ43">
        <f t="shared" si="54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37</v>
      </c>
      <c r="DW43" t="s">
        <v>37</v>
      </c>
      <c r="DX43">
        <v>1</v>
      </c>
      <c r="EE43">
        <v>48752153</v>
      </c>
      <c r="EF43">
        <v>10</v>
      </c>
      <c r="EG43" t="s">
        <v>46</v>
      </c>
      <c r="EH43">
        <v>0</v>
      </c>
      <c r="EI43" t="s">
        <v>3</v>
      </c>
      <c r="EJ43">
        <v>1</v>
      </c>
      <c r="EK43">
        <v>700001</v>
      </c>
      <c r="EL43" t="s">
        <v>47</v>
      </c>
      <c r="EM43" t="s">
        <v>48</v>
      </c>
      <c r="EO43" t="s">
        <v>3</v>
      </c>
      <c r="EQ43">
        <v>131072</v>
      </c>
      <c r="ER43">
        <v>19.170000000000002</v>
      </c>
      <c r="ES43">
        <v>0</v>
      </c>
      <c r="ET43">
        <v>19.170000000000002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55"/>
        <v>0</v>
      </c>
      <c r="FS43">
        <v>0</v>
      </c>
      <c r="FX43">
        <v>0</v>
      </c>
      <c r="FY43">
        <v>0</v>
      </c>
      <c r="GA43" t="s">
        <v>3</v>
      </c>
      <c r="GD43">
        <v>1</v>
      </c>
      <c r="GF43">
        <v>-776111215</v>
      </c>
      <c r="GG43">
        <v>2</v>
      </c>
      <c r="GH43">
        <v>0</v>
      </c>
      <c r="GI43">
        <v>0</v>
      </c>
      <c r="GJ43">
        <v>0</v>
      </c>
      <c r="GK43">
        <v>0</v>
      </c>
      <c r="GL43">
        <f t="shared" si="56"/>
        <v>0</v>
      </c>
      <c r="GM43">
        <f t="shared" si="57"/>
        <v>897</v>
      </c>
      <c r="GN43">
        <f t="shared" si="58"/>
        <v>897</v>
      </c>
      <c r="GO43">
        <f t="shared" si="59"/>
        <v>0</v>
      </c>
      <c r="GP43">
        <f t="shared" si="60"/>
        <v>0</v>
      </c>
      <c r="GR43">
        <v>0</v>
      </c>
      <c r="GS43">
        <v>0</v>
      </c>
      <c r="GT43">
        <v>0</v>
      </c>
      <c r="GU43" t="s">
        <v>3</v>
      </c>
      <c r="GV43">
        <f t="shared" si="61"/>
        <v>0</v>
      </c>
      <c r="GW43">
        <v>1</v>
      </c>
      <c r="GX43">
        <f t="shared" si="62"/>
        <v>0</v>
      </c>
      <c r="HA43">
        <v>0</v>
      </c>
      <c r="HB43">
        <v>0</v>
      </c>
      <c r="HC43">
        <f t="shared" si="63"/>
        <v>0</v>
      </c>
      <c r="HD43">
        <f>GM43</f>
        <v>897</v>
      </c>
      <c r="IK43">
        <v>0</v>
      </c>
    </row>
    <row r="45" spans="1:245" x14ac:dyDescent="0.2">
      <c r="A45" s="2">
        <v>51</v>
      </c>
      <c r="B45" s="2">
        <f>B28</f>
        <v>1</v>
      </c>
      <c r="C45" s="2">
        <f>A28</f>
        <v>5</v>
      </c>
      <c r="D45" s="2">
        <f>ROW(A28)</f>
        <v>28</v>
      </c>
      <c r="E45" s="2"/>
      <c r="F45" s="2" t="str">
        <f>IF(F28&lt;&gt;"",F28,"")</f>
        <v>Новый подраздел</v>
      </c>
      <c r="G45" s="2" t="str">
        <f>IF(G28&lt;&gt;"",G28,"")</f>
        <v>Расчистка территории</v>
      </c>
      <c r="H45" s="2">
        <v>0</v>
      </c>
      <c r="I45" s="2"/>
      <c r="J45" s="2"/>
      <c r="K45" s="2"/>
      <c r="L45" s="2"/>
      <c r="M45" s="2"/>
      <c r="N45" s="2"/>
      <c r="O45" s="2">
        <f t="shared" ref="O45:T45" si="65">ROUND(AB45,0)</f>
        <v>31185</v>
      </c>
      <c r="P45" s="2">
        <f t="shared" si="65"/>
        <v>11</v>
      </c>
      <c r="Q45" s="2">
        <f t="shared" si="65"/>
        <v>28570</v>
      </c>
      <c r="R45" s="2">
        <f t="shared" si="65"/>
        <v>902</v>
      </c>
      <c r="S45" s="2">
        <f t="shared" si="65"/>
        <v>2604</v>
      </c>
      <c r="T45" s="2">
        <f t="shared" si="65"/>
        <v>0</v>
      </c>
      <c r="U45" s="2">
        <f>AH45</f>
        <v>373.03582870000002</v>
      </c>
      <c r="V45" s="2">
        <f>AI45</f>
        <v>80.018449500000003</v>
      </c>
      <c r="W45" s="2">
        <f>ROUND(AJ45,0)</f>
        <v>0</v>
      </c>
      <c r="X45" s="2">
        <f>ROUND(AK45,0)</f>
        <v>3715</v>
      </c>
      <c r="Y45" s="2">
        <f>ROUND(AL45,0)</f>
        <v>2109</v>
      </c>
      <c r="Z45" s="2"/>
      <c r="AA45" s="2"/>
      <c r="AB45" s="2">
        <f>ROUND(SUMIF(AA32:AA43,"=50210945",O32:O43),0)</f>
        <v>31185</v>
      </c>
      <c r="AC45" s="2">
        <f>ROUND(SUMIF(AA32:AA43,"=50210945",P32:P43),0)</f>
        <v>11</v>
      </c>
      <c r="AD45" s="2">
        <f>ROUND(SUMIF(AA32:AA43,"=50210945",Q32:Q43),0)</f>
        <v>28570</v>
      </c>
      <c r="AE45" s="2">
        <f>ROUND(SUMIF(AA32:AA43,"=50210945",R32:R43),0)</f>
        <v>902</v>
      </c>
      <c r="AF45" s="2">
        <f>ROUND(SUMIF(AA32:AA43,"=50210945",S32:S43),0)</f>
        <v>2604</v>
      </c>
      <c r="AG45" s="2">
        <f>ROUND(SUMIF(AA32:AA43,"=50210945",T32:T43),0)</f>
        <v>0</v>
      </c>
      <c r="AH45" s="2">
        <f>SUMIF(AA32:AA43,"=50210945",U32:U43)</f>
        <v>373.03582870000002</v>
      </c>
      <c r="AI45" s="2">
        <f>SUMIF(AA32:AA43,"=50210945",V32:V43)</f>
        <v>80.018449500000003</v>
      </c>
      <c r="AJ45" s="2">
        <f>ROUND(SUMIF(AA32:AA43,"=50210945",W32:W43),0)</f>
        <v>0</v>
      </c>
      <c r="AK45" s="2">
        <f>ROUND(SUMIF(AA32:AA43,"=50210945",X32:X43),0)</f>
        <v>3715</v>
      </c>
      <c r="AL45" s="2">
        <f>ROUND(SUMIF(AA32:AA43,"=50210945",Y32:Y43),0)</f>
        <v>2109</v>
      </c>
      <c r="AM45" s="2"/>
      <c r="AN45" s="2"/>
      <c r="AO45" s="2">
        <f t="shared" ref="AO45:BD45" si="66">ROUND(BX45,0)</f>
        <v>0</v>
      </c>
      <c r="AP45" s="2">
        <f t="shared" si="66"/>
        <v>0</v>
      </c>
      <c r="AQ45" s="2">
        <f t="shared" si="66"/>
        <v>0</v>
      </c>
      <c r="AR45" s="2">
        <f t="shared" si="66"/>
        <v>37009</v>
      </c>
      <c r="AS45" s="2">
        <f t="shared" si="66"/>
        <v>37009</v>
      </c>
      <c r="AT45" s="2">
        <f t="shared" si="66"/>
        <v>0</v>
      </c>
      <c r="AU45" s="2">
        <f t="shared" si="66"/>
        <v>0</v>
      </c>
      <c r="AV45" s="2">
        <f t="shared" si="66"/>
        <v>11</v>
      </c>
      <c r="AW45" s="2">
        <f t="shared" si="66"/>
        <v>11</v>
      </c>
      <c r="AX45" s="2">
        <f t="shared" si="66"/>
        <v>0</v>
      </c>
      <c r="AY45" s="2">
        <f t="shared" si="66"/>
        <v>11</v>
      </c>
      <c r="AZ45" s="2">
        <f t="shared" si="66"/>
        <v>0</v>
      </c>
      <c r="BA45" s="2">
        <f t="shared" si="66"/>
        <v>0</v>
      </c>
      <c r="BB45" s="2">
        <f t="shared" si="66"/>
        <v>0</v>
      </c>
      <c r="BC45" s="2">
        <f t="shared" si="66"/>
        <v>0</v>
      </c>
      <c r="BD45" s="2">
        <f t="shared" si="66"/>
        <v>5674</v>
      </c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>
        <f>ROUND(SUMIF(AA32:AA43,"=50210945",FQ32:FQ43),0)</f>
        <v>0</v>
      </c>
      <c r="BY45" s="2">
        <f>ROUND(SUMIF(AA32:AA43,"=50210945",FR32:FR43),0)</f>
        <v>0</v>
      </c>
      <c r="BZ45" s="2">
        <f>ROUND(SUMIF(AA32:AA43,"=50210945",GL32:GL43),0)</f>
        <v>0</v>
      </c>
      <c r="CA45" s="2">
        <f>ROUND(SUMIF(AA32:AA43,"=50210945",GM32:GM43),0)</f>
        <v>37009</v>
      </c>
      <c r="CB45" s="2">
        <f>ROUND(SUMIF(AA32:AA43,"=50210945",GN32:GN43),0)</f>
        <v>37009</v>
      </c>
      <c r="CC45" s="2">
        <f>ROUND(SUMIF(AA32:AA43,"=50210945",GO32:GO43),0)</f>
        <v>0</v>
      </c>
      <c r="CD45" s="2">
        <f>ROUND(SUMIF(AA32:AA43,"=50210945",GP32:GP43),0)</f>
        <v>0</v>
      </c>
      <c r="CE45" s="2">
        <f>AC45-BX45</f>
        <v>11</v>
      </c>
      <c r="CF45" s="2">
        <f>AC45-BY45</f>
        <v>11</v>
      </c>
      <c r="CG45" s="2">
        <f>BX45-BZ45</f>
        <v>0</v>
      </c>
      <c r="CH45" s="2">
        <f>AC45-BX45-BY45+BZ45</f>
        <v>11</v>
      </c>
      <c r="CI45" s="2">
        <f>BY45-BZ45</f>
        <v>0</v>
      </c>
      <c r="CJ45" s="2">
        <f>ROUND(SUMIF(AA32:AA43,"=50210945",GX32:GX43),0)</f>
        <v>0</v>
      </c>
      <c r="CK45" s="2">
        <f>ROUND(SUMIF(AA32:AA43,"=50210945",GY32:GY43),0)</f>
        <v>0</v>
      </c>
      <c r="CL45" s="2">
        <f>ROUND(SUMIF(AA32:AA43,"=50210945",GZ32:GZ43),0)</f>
        <v>0</v>
      </c>
      <c r="CM45" s="2">
        <f>ROUND(SUMIF(AA32:AA43,"=50210945",HD32:HD43),0)</f>
        <v>5674</v>
      </c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>
        <v>0</v>
      </c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201</v>
      </c>
      <c r="F47" s="4">
        <f>ROUND(Source!O45,O47)</f>
        <v>31185</v>
      </c>
      <c r="G47" s="4" t="s">
        <v>89</v>
      </c>
      <c r="H47" s="4" t="s">
        <v>90</v>
      </c>
      <c r="I47" s="4"/>
      <c r="J47" s="4"/>
      <c r="K47" s="4">
        <v>201</v>
      </c>
      <c r="L47" s="4">
        <v>1</v>
      </c>
      <c r="M47" s="4">
        <v>3</v>
      </c>
      <c r="N47" s="4" t="s">
        <v>3</v>
      </c>
      <c r="O47" s="4">
        <v>0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202</v>
      </c>
      <c r="F48" s="4">
        <f>ROUND(Source!P45,O48)</f>
        <v>11</v>
      </c>
      <c r="G48" s="4" t="s">
        <v>91</v>
      </c>
      <c r="H48" s="4" t="s">
        <v>92</v>
      </c>
      <c r="I48" s="4"/>
      <c r="J48" s="4"/>
      <c r="K48" s="4">
        <v>202</v>
      </c>
      <c r="L48" s="4">
        <v>2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222</v>
      </c>
      <c r="F49" s="4">
        <f>ROUND(Source!AO45,O49)</f>
        <v>0</v>
      </c>
      <c r="G49" s="4" t="s">
        <v>93</v>
      </c>
      <c r="H49" s="4" t="s">
        <v>94</v>
      </c>
      <c r="I49" s="4"/>
      <c r="J49" s="4"/>
      <c r="K49" s="4">
        <v>222</v>
      </c>
      <c r="L49" s="4">
        <v>3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225</v>
      </c>
      <c r="F50" s="4">
        <f>ROUND(Source!AV45,O50)</f>
        <v>11</v>
      </c>
      <c r="G50" s="4" t="s">
        <v>95</v>
      </c>
      <c r="H50" s="4" t="s">
        <v>96</v>
      </c>
      <c r="I50" s="4"/>
      <c r="J50" s="4"/>
      <c r="K50" s="4">
        <v>225</v>
      </c>
      <c r="L50" s="4">
        <v>4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226</v>
      </c>
      <c r="F51" s="4">
        <f>ROUND(Source!AW45,O51)</f>
        <v>11</v>
      </c>
      <c r="G51" s="4" t="s">
        <v>97</v>
      </c>
      <c r="H51" s="4" t="s">
        <v>98</v>
      </c>
      <c r="I51" s="4"/>
      <c r="J51" s="4"/>
      <c r="K51" s="4">
        <v>226</v>
      </c>
      <c r="L51" s="4">
        <v>5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227</v>
      </c>
      <c r="F52" s="4">
        <f>ROUND(Source!AX45,O52)</f>
        <v>0</v>
      </c>
      <c r="G52" s="4" t="s">
        <v>99</v>
      </c>
      <c r="H52" s="4" t="s">
        <v>100</v>
      </c>
      <c r="I52" s="4"/>
      <c r="J52" s="4"/>
      <c r="K52" s="4">
        <v>227</v>
      </c>
      <c r="L52" s="4">
        <v>6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228</v>
      </c>
      <c r="F53" s="4">
        <f>ROUND(Source!AY45,O53)</f>
        <v>11</v>
      </c>
      <c r="G53" s="4" t="s">
        <v>101</v>
      </c>
      <c r="H53" s="4" t="s">
        <v>102</v>
      </c>
      <c r="I53" s="4"/>
      <c r="J53" s="4"/>
      <c r="K53" s="4">
        <v>228</v>
      </c>
      <c r="L53" s="4">
        <v>7</v>
      </c>
      <c r="M53" s="4">
        <v>3</v>
      </c>
      <c r="N53" s="4" t="s">
        <v>3</v>
      </c>
      <c r="O53" s="4">
        <v>0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216</v>
      </c>
      <c r="F54" s="4">
        <f>ROUND(Source!AP45,O54)</f>
        <v>0</v>
      </c>
      <c r="G54" s="4" t="s">
        <v>103</v>
      </c>
      <c r="H54" s="4" t="s">
        <v>104</v>
      </c>
      <c r="I54" s="4"/>
      <c r="J54" s="4"/>
      <c r="K54" s="4">
        <v>216</v>
      </c>
      <c r="L54" s="4">
        <v>8</v>
      </c>
      <c r="M54" s="4">
        <v>3</v>
      </c>
      <c r="N54" s="4" t="s">
        <v>3</v>
      </c>
      <c r="O54" s="4">
        <v>0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223</v>
      </c>
      <c r="F55" s="4">
        <f>ROUND(Source!AQ45,O55)</f>
        <v>0</v>
      </c>
      <c r="G55" s="4" t="s">
        <v>105</v>
      </c>
      <c r="H55" s="4" t="s">
        <v>106</v>
      </c>
      <c r="I55" s="4"/>
      <c r="J55" s="4"/>
      <c r="K55" s="4">
        <v>223</v>
      </c>
      <c r="L55" s="4">
        <v>9</v>
      </c>
      <c r="M55" s="4">
        <v>3</v>
      </c>
      <c r="N55" s="4" t="s">
        <v>3</v>
      </c>
      <c r="O55" s="4">
        <v>0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229</v>
      </c>
      <c r="F56" s="4">
        <f>ROUND(Source!AZ45,O56)</f>
        <v>0</v>
      </c>
      <c r="G56" s="4" t="s">
        <v>107</v>
      </c>
      <c r="H56" s="4" t="s">
        <v>108</v>
      </c>
      <c r="I56" s="4"/>
      <c r="J56" s="4"/>
      <c r="K56" s="4">
        <v>229</v>
      </c>
      <c r="L56" s="4">
        <v>10</v>
      </c>
      <c r="M56" s="4">
        <v>3</v>
      </c>
      <c r="N56" s="4" t="s">
        <v>3</v>
      </c>
      <c r="O56" s="4">
        <v>0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203</v>
      </c>
      <c r="F57" s="4">
        <f>ROUND(Source!Q45,O57)</f>
        <v>28570</v>
      </c>
      <c r="G57" s="4" t="s">
        <v>109</v>
      </c>
      <c r="H57" s="4" t="s">
        <v>110</v>
      </c>
      <c r="I57" s="4"/>
      <c r="J57" s="4"/>
      <c r="K57" s="4">
        <v>203</v>
      </c>
      <c r="L57" s="4">
        <v>11</v>
      </c>
      <c r="M57" s="4">
        <v>3</v>
      </c>
      <c r="N57" s="4" t="s">
        <v>3</v>
      </c>
      <c r="O57" s="4">
        <v>0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231</v>
      </c>
      <c r="F58" s="4">
        <f>ROUND(Source!BB45,O58)</f>
        <v>0</v>
      </c>
      <c r="G58" s="4" t="s">
        <v>111</v>
      </c>
      <c r="H58" s="4" t="s">
        <v>112</v>
      </c>
      <c r="I58" s="4"/>
      <c r="J58" s="4"/>
      <c r="K58" s="4">
        <v>231</v>
      </c>
      <c r="L58" s="4">
        <v>12</v>
      </c>
      <c r="M58" s="4">
        <v>3</v>
      </c>
      <c r="N58" s="4" t="s">
        <v>3</v>
      </c>
      <c r="O58" s="4">
        <v>0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204</v>
      </c>
      <c r="F59" s="4">
        <f>ROUND(Source!R45,O59)</f>
        <v>902</v>
      </c>
      <c r="G59" s="4" t="s">
        <v>113</v>
      </c>
      <c r="H59" s="4" t="s">
        <v>114</v>
      </c>
      <c r="I59" s="4"/>
      <c r="J59" s="4"/>
      <c r="K59" s="4">
        <v>204</v>
      </c>
      <c r="L59" s="4">
        <v>13</v>
      </c>
      <c r="M59" s="4">
        <v>3</v>
      </c>
      <c r="N59" s="4" t="s">
        <v>3</v>
      </c>
      <c r="O59" s="4">
        <v>0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205</v>
      </c>
      <c r="F60" s="4">
        <f>ROUND(Source!S45,O60)</f>
        <v>2604</v>
      </c>
      <c r="G60" s="4" t="s">
        <v>115</v>
      </c>
      <c r="H60" s="4" t="s">
        <v>116</v>
      </c>
      <c r="I60" s="4"/>
      <c r="J60" s="4"/>
      <c r="K60" s="4">
        <v>205</v>
      </c>
      <c r="L60" s="4">
        <v>14</v>
      </c>
      <c r="M60" s="4">
        <v>3</v>
      </c>
      <c r="N60" s="4" t="s">
        <v>3</v>
      </c>
      <c r="O60" s="4">
        <v>0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232</v>
      </c>
      <c r="F61" s="4">
        <f>ROUND(Source!BC45,O61)</f>
        <v>0</v>
      </c>
      <c r="G61" s="4" t="s">
        <v>117</v>
      </c>
      <c r="H61" s="4" t="s">
        <v>118</v>
      </c>
      <c r="I61" s="4"/>
      <c r="J61" s="4"/>
      <c r="K61" s="4">
        <v>232</v>
      </c>
      <c r="L61" s="4">
        <v>15</v>
      </c>
      <c r="M61" s="4">
        <v>3</v>
      </c>
      <c r="N61" s="4" t="s">
        <v>3</v>
      </c>
      <c r="O61" s="4">
        <v>0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214</v>
      </c>
      <c r="F62" s="4">
        <f>ROUND(Source!AS45,O62)</f>
        <v>37009</v>
      </c>
      <c r="G62" s="4" t="s">
        <v>119</v>
      </c>
      <c r="H62" s="4" t="s">
        <v>120</v>
      </c>
      <c r="I62" s="4"/>
      <c r="J62" s="4"/>
      <c r="K62" s="4">
        <v>214</v>
      </c>
      <c r="L62" s="4">
        <v>16</v>
      </c>
      <c r="M62" s="4">
        <v>3</v>
      </c>
      <c r="N62" s="4" t="s">
        <v>3</v>
      </c>
      <c r="O62" s="4">
        <v>0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215</v>
      </c>
      <c r="F63" s="4">
        <f>ROUND(Source!AT45,O63)</f>
        <v>0</v>
      </c>
      <c r="G63" s="4" t="s">
        <v>121</v>
      </c>
      <c r="H63" s="4" t="s">
        <v>122</v>
      </c>
      <c r="I63" s="4"/>
      <c r="J63" s="4"/>
      <c r="K63" s="4">
        <v>215</v>
      </c>
      <c r="L63" s="4">
        <v>17</v>
      </c>
      <c r="M63" s="4">
        <v>3</v>
      </c>
      <c r="N63" s="4" t="s">
        <v>3</v>
      </c>
      <c r="O63" s="4">
        <v>0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217</v>
      </c>
      <c r="F64" s="4">
        <f>ROUND(Source!AU45,O64)</f>
        <v>0</v>
      </c>
      <c r="G64" s="4" t="s">
        <v>123</v>
      </c>
      <c r="H64" s="4" t="s">
        <v>124</v>
      </c>
      <c r="I64" s="4"/>
      <c r="J64" s="4"/>
      <c r="K64" s="4">
        <v>217</v>
      </c>
      <c r="L64" s="4">
        <v>18</v>
      </c>
      <c r="M64" s="4">
        <v>3</v>
      </c>
      <c r="N64" s="4" t="s">
        <v>3</v>
      </c>
      <c r="O64" s="4">
        <v>0</v>
      </c>
      <c r="P64" s="4"/>
      <c r="Q64" s="4"/>
      <c r="R64" s="4"/>
      <c r="S64" s="4"/>
      <c r="T64" s="4"/>
      <c r="U64" s="4"/>
      <c r="V64" s="4"/>
      <c r="W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230</v>
      </c>
      <c r="F65" s="4">
        <f>ROUND(Source!BA45,O65)</f>
        <v>0</v>
      </c>
      <c r="G65" s="4" t="s">
        <v>125</v>
      </c>
      <c r="H65" s="4" t="s">
        <v>126</v>
      </c>
      <c r="I65" s="4"/>
      <c r="J65" s="4"/>
      <c r="K65" s="4">
        <v>230</v>
      </c>
      <c r="L65" s="4">
        <v>19</v>
      </c>
      <c r="M65" s="4">
        <v>3</v>
      </c>
      <c r="N65" s="4" t="s">
        <v>3</v>
      </c>
      <c r="O65" s="4">
        <v>0</v>
      </c>
      <c r="P65" s="4"/>
      <c r="Q65" s="4"/>
      <c r="R65" s="4"/>
      <c r="S65" s="4"/>
      <c r="T65" s="4"/>
      <c r="U65" s="4"/>
      <c r="V65" s="4"/>
      <c r="W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206</v>
      </c>
      <c r="F66" s="4">
        <f>ROUND(Source!T45,O66)</f>
        <v>0</v>
      </c>
      <c r="G66" s="4" t="s">
        <v>127</v>
      </c>
      <c r="H66" s="4" t="s">
        <v>128</v>
      </c>
      <c r="I66" s="4"/>
      <c r="J66" s="4"/>
      <c r="K66" s="4">
        <v>206</v>
      </c>
      <c r="L66" s="4">
        <v>20</v>
      </c>
      <c r="M66" s="4">
        <v>3</v>
      </c>
      <c r="N66" s="4" t="s">
        <v>3</v>
      </c>
      <c r="O66" s="4">
        <v>0</v>
      </c>
      <c r="P66" s="4"/>
      <c r="Q66" s="4"/>
      <c r="R66" s="4"/>
      <c r="S66" s="4"/>
      <c r="T66" s="4"/>
      <c r="U66" s="4"/>
      <c r="V66" s="4"/>
      <c r="W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207</v>
      </c>
      <c r="F67" s="4">
        <f>Source!U45</f>
        <v>373.03582870000002</v>
      </c>
      <c r="G67" s="4" t="s">
        <v>129</v>
      </c>
      <c r="H67" s="4" t="s">
        <v>130</v>
      </c>
      <c r="I67" s="4"/>
      <c r="J67" s="4"/>
      <c r="K67" s="4">
        <v>207</v>
      </c>
      <c r="L67" s="4">
        <v>21</v>
      </c>
      <c r="M67" s="4">
        <v>3</v>
      </c>
      <c r="N67" s="4" t="s">
        <v>3</v>
      </c>
      <c r="O67" s="4">
        <v>-1</v>
      </c>
      <c r="P67" s="4"/>
      <c r="Q67" s="4"/>
      <c r="R67" s="4"/>
      <c r="S67" s="4"/>
      <c r="T67" s="4"/>
      <c r="U67" s="4"/>
      <c r="V67" s="4"/>
      <c r="W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208</v>
      </c>
      <c r="F68" s="4">
        <f>Source!V45</f>
        <v>80.018449500000003</v>
      </c>
      <c r="G68" s="4" t="s">
        <v>131</v>
      </c>
      <c r="H68" s="4" t="s">
        <v>132</v>
      </c>
      <c r="I68" s="4"/>
      <c r="J68" s="4"/>
      <c r="K68" s="4">
        <v>208</v>
      </c>
      <c r="L68" s="4">
        <v>22</v>
      </c>
      <c r="M68" s="4">
        <v>3</v>
      </c>
      <c r="N68" s="4" t="s">
        <v>3</v>
      </c>
      <c r="O68" s="4">
        <v>-1</v>
      </c>
      <c r="P68" s="4"/>
      <c r="Q68" s="4"/>
      <c r="R68" s="4"/>
      <c r="S68" s="4"/>
      <c r="T68" s="4"/>
      <c r="U68" s="4"/>
      <c r="V68" s="4"/>
      <c r="W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209</v>
      </c>
      <c r="F69" s="4">
        <f>ROUND(Source!W45,O69)</f>
        <v>0</v>
      </c>
      <c r="G69" s="4" t="s">
        <v>133</v>
      </c>
      <c r="H69" s="4" t="s">
        <v>134</v>
      </c>
      <c r="I69" s="4"/>
      <c r="J69" s="4"/>
      <c r="K69" s="4">
        <v>209</v>
      </c>
      <c r="L69" s="4">
        <v>23</v>
      </c>
      <c r="M69" s="4">
        <v>3</v>
      </c>
      <c r="N69" s="4" t="s">
        <v>3</v>
      </c>
      <c r="O69" s="4">
        <v>0</v>
      </c>
      <c r="P69" s="4"/>
      <c r="Q69" s="4"/>
      <c r="R69" s="4"/>
      <c r="S69" s="4"/>
      <c r="T69" s="4"/>
      <c r="U69" s="4"/>
      <c r="V69" s="4"/>
      <c r="W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233</v>
      </c>
      <c r="F70" s="4">
        <f>ROUND(Source!BD45,O70)</f>
        <v>5674</v>
      </c>
      <c r="G70" s="4" t="s">
        <v>135</v>
      </c>
      <c r="H70" s="4" t="s">
        <v>136</v>
      </c>
      <c r="I70" s="4"/>
      <c r="J70" s="4"/>
      <c r="K70" s="4">
        <v>233</v>
      </c>
      <c r="L70" s="4">
        <v>24</v>
      </c>
      <c r="M70" s="4">
        <v>3</v>
      </c>
      <c r="N70" s="4" t="s">
        <v>3</v>
      </c>
      <c r="O70" s="4">
        <v>0</v>
      </c>
      <c r="P70" s="4"/>
      <c r="Q70" s="4"/>
      <c r="R70" s="4"/>
      <c r="S70" s="4"/>
      <c r="T70" s="4"/>
      <c r="U70" s="4"/>
      <c r="V70" s="4"/>
      <c r="W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210</v>
      </c>
      <c r="F71" s="4">
        <f>ROUND(Source!X45,O71)</f>
        <v>3715</v>
      </c>
      <c r="G71" s="4" t="s">
        <v>137</v>
      </c>
      <c r="H71" s="4" t="s">
        <v>138</v>
      </c>
      <c r="I71" s="4"/>
      <c r="J71" s="4"/>
      <c r="K71" s="4">
        <v>210</v>
      </c>
      <c r="L71" s="4">
        <v>25</v>
      </c>
      <c r="M71" s="4">
        <v>3</v>
      </c>
      <c r="N71" s="4" t="s">
        <v>3</v>
      </c>
      <c r="O71" s="4">
        <v>0</v>
      </c>
      <c r="P71" s="4"/>
      <c r="Q71" s="4"/>
      <c r="R71" s="4"/>
      <c r="S71" s="4"/>
      <c r="T71" s="4"/>
      <c r="U71" s="4"/>
      <c r="V71" s="4"/>
      <c r="W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211</v>
      </c>
      <c r="F72" s="4">
        <f>ROUND(Source!Y45,O72)</f>
        <v>2109</v>
      </c>
      <c r="G72" s="4" t="s">
        <v>139</v>
      </c>
      <c r="H72" s="4" t="s">
        <v>140</v>
      </c>
      <c r="I72" s="4"/>
      <c r="J72" s="4"/>
      <c r="K72" s="4">
        <v>211</v>
      </c>
      <c r="L72" s="4">
        <v>26</v>
      </c>
      <c r="M72" s="4">
        <v>3</v>
      </c>
      <c r="N72" s="4" t="s">
        <v>3</v>
      </c>
      <c r="O72" s="4">
        <v>0</v>
      </c>
      <c r="P72" s="4"/>
      <c r="Q72" s="4"/>
      <c r="R72" s="4"/>
      <c r="S72" s="4"/>
      <c r="T72" s="4"/>
      <c r="U72" s="4"/>
      <c r="V72" s="4"/>
      <c r="W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224</v>
      </c>
      <c r="F73" s="4">
        <f>ROUND(Source!AR45,O73)</f>
        <v>37009</v>
      </c>
      <c r="G73" s="4" t="s">
        <v>141</v>
      </c>
      <c r="H73" s="4" t="s">
        <v>142</v>
      </c>
      <c r="I73" s="4"/>
      <c r="J73" s="4"/>
      <c r="K73" s="4">
        <v>224</v>
      </c>
      <c r="L73" s="4">
        <v>27</v>
      </c>
      <c r="M73" s="4">
        <v>3</v>
      </c>
      <c r="N73" s="4" t="s">
        <v>3</v>
      </c>
      <c r="O73" s="4">
        <v>0</v>
      </c>
      <c r="P73" s="4"/>
      <c r="Q73" s="4"/>
      <c r="R73" s="4"/>
      <c r="S73" s="4"/>
      <c r="T73" s="4"/>
      <c r="U73" s="4"/>
      <c r="V73" s="4"/>
      <c r="W73" s="4"/>
    </row>
    <row r="75" spans="1:206" x14ac:dyDescent="0.2">
      <c r="A75" s="1">
        <v>5</v>
      </c>
      <c r="B75" s="1">
        <v>1</v>
      </c>
      <c r="C75" s="1"/>
      <c r="D75" s="1">
        <f>ROW(A79)</f>
        <v>79</v>
      </c>
      <c r="E75" s="1"/>
      <c r="F75" s="1" t="s">
        <v>15</v>
      </c>
      <c r="G75" s="1" t="s">
        <v>143</v>
      </c>
      <c r="H75" s="1" t="s">
        <v>3</v>
      </c>
      <c r="I75" s="1">
        <v>0</v>
      </c>
      <c r="J75" s="1"/>
      <c r="K75" s="1">
        <v>-1</v>
      </c>
      <c r="L75" s="1"/>
      <c r="M75" s="1"/>
      <c r="N75" s="1"/>
      <c r="O75" s="1"/>
      <c r="P75" s="1"/>
      <c r="Q75" s="1"/>
      <c r="R75" s="1"/>
      <c r="S75" s="1"/>
      <c r="T75" s="1"/>
      <c r="U75" s="1" t="s">
        <v>3</v>
      </c>
      <c r="V75" s="1">
        <v>0</v>
      </c>
      <c r="W75" s="1"/>
      <c r="X75" s="1"/>
      <c r="Y75" s="1"/>
      <c r="Z75" s="1"/>
      <c r="AA75" s="1"/>
      <c r="AB75" s="1" t="s">
        <v>3</v>
      </c>
      <c r="AC75" s="1" t="s">
        <v>3</v>
      </c>
      <c r="AD75" s="1" t="s">
        <v>3</v>
      </c>
      <c r="AE75" s="1" t="s">
        <v>3</v>
      </c>
      <c r="AF75" s="1" t="s">
        <v>3</v>
      </c>
      <c r="AG75" s="1" t="s">
        <v>3</v>
      </c>
      <c r="AH75" s="1"/>
      <c r="AI75" s="1"/>
      <c r="AJ75" s="1"/>
      <c r="AK75" s="1"/>
      <c r="AL75" s="1"/>
      <c r="AM75" s="1"/>
      <c r="AN75" s="1"/>
      <c r="AO75" s="1"/>
      <c r="AP75" s="1" t="s">
        <v>3</v>
      </c>
      <c r="AQ75" s="1" t="s">
        <v>3</v>
      </c>
      <c r="AR75" s="1" t="s">
        <v>3</v>
      </c>
      <c r="AS75" s="1"/>
      <c r="AT75" s="1"/>
      <c r="AU75" s="1"/>
      <c r="AV75" s="1"/>
      <c r="AW75" s="1"/>
      <c r="AX75" s="1"/>
      <c r="AY75" s="1"/>
      <c r="AZ75" s="1" t="s">
        <v>3</v>
      </c>
      <c r="BA75" s="1"/>
      <c r="BB75" s="1" t="s">
        <v>3</v>
      </c>
      <c r="BC75" s="1" t="s">
        <v>3</v>
      </c>
      <c r="BD75" s="1" t="s">
        <v>11</v>
      </c>
      <c r="BE75" s="1" t="s">
        <v>11</v>
      </c>
      <c r="BF75" s="1" t="s">
        <v>12</v>
      </c>
      <c r="BG75" s="1" t="s">
        <v>3</v>
      </c>
      <c r="BH75" s="1" t="s">
        <v>12</v>
      </c>
      <c r="BI75" s="1" t="s">
        <v>11</v>
      </c>
      <c r="BJ75" s="1" t="s">
        <v>3</v>
      </c>
      <c r="BK75" s="1" t="s">
        <v>3</v>
      </c>
      <c r="BL75" s="1" t="s">
        <v>3</v>
      </c>
      <c r="BM75" s="1" t="s">
        <v>3</v>
      </c>
      <c r="BN75" s="1" t="s">
        <v>11</v>
      </c>
      <c r="BO75" s="1" t="s">
        <v>3</v>
      </c>
      <c r="BP75" s="1" t="s">
        <v>3</v>
      </c>
      <c r="BQ75" s="1"/>
      <c r="BR75" s="1"/>
      <c r="BS75" s="1"/>
      <c r="BT75" s="1"/>
      <c r="BU75" s="1"/>
      <c r="BV75" s="1"/>
      <c r="BW75" s="1"/>
      <c r="BX75" s="1">
        <v>0</v>
      </c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>
        <v>0</v>
      </c>
    </row>
    <row r="77" spans="1:206" x14ac:dyDescent="0.2">
      <c r="A77" s="2">
        <v>52</v>
      </c>
      <c r="B77" s="2">
        <f t="shared" ref="B77:G77" si="67">B79</f>
        <v>1</v>
      </c>
      <c r="C77" s="2">
        <f t="shared" si="67"/>
        <v>5</v>
      </c>
      <c r="D77" s="2">
        <f t="shared" si="67"/>
        <v>75</v>
      </c>
      <c r="E77" s="2">
        <f t="shared" si="67"/>
        <v>0</v>
      </c>
      <c r="F77" s="2" t="str">
        <f t="shared" si="67"/>
        <v>Новый подраздел</v>
      </c>
      <c r="G77" s="2" t="str">
        <f t="shared" si="67"/>
        <v>Дворовой проезд</v>
      </c>
      <c r="H77" s="2"/>
      <c r="I77" s="2"/>
      <c r="J77" s="2"/>
      <c r="K77" s="2"/>
      <c r="L77" s="2"/>
      <c r="M77" s="2"/>
      <c r="N77" s="2"/>
      <c r="O77" s="2">
        <f t="shared" ref="O77:AT77" si="68">O79</f>
        <v>0</v>
      </c>
      <c r="P77" s="2">
        <f t="shared" si="68"/>
        <v>0</v>
      </c>
      <c r="Q77" s="2">
        <f t="shared" si="68"/>
        <v>0</v>
      </c>
      <c r="R77" s="2">
        <f t="shared" si="68"/>
        <v>0</v>
      </c>
      <c r="S77" s="2">
        <f t="shared" si="68"/>
        <v>0</v>
      </c>
      <c r="T77" s="2">
        <f t="shared" si="68"/>
        <v>0</v>
      </c>
      <c r="U77" s="2">
        <f t="shared" si="68"/>
        <v>0</v>
      </c>
      <c r="V77" s="2">
        <f t="shared" si="68"/>
        <v>0</v>
      </c>
      <c r="W77" s="2">
        <f t="shared" si="68"/>
        <v>0</v>
      </c>
      <c r="X77" s="2">
        <f t="shared" si="68"/>
        <v>0</v>
      </c>
      <c r="Y77" s="2">
        <f t="shared" si="68"/>
        <v>0</v>
      </c>
      <c r="Z77" s="2">
        <f t="shared" si="68"/>
        <v>0</v>
      </c>
      <c r="AA77" s="2">
        <f t="shared" si="68"/>
        <v>0</v>
      </c>
      <c r="AB77" s="2">
        <f t="shared" si="68"/>
        <v>0</v>
      </c>
      <c r="AC77" s="2">
        <f t="shared" si="68"/>
        <v>0</v>
      </c>
      <c r="AD77" s="2">
        <f t="shared" si="68"/>
        <v>0</v>
      </c>
      <c r="AE77" s="2">
        <f t="shared" si="68"/>
        <v>0</v>
      </c>
      <c r="AF77" s="2">
        <f t="shared" si="68"/>
        <v>0</v>
      </c>
      <c r="AG77" s="2">
        <f t="shared" si="68"/>
        <v>0</v>
      </c>
      <c r="AH77" s="2">
        <f t="shared" si="68"/>
        <v>0</v>
      </c>
      <c r="AI77" s="2">
        <f t="shared" si="68"/>
        <v>0</v>
      </c>
      <c r="AJ77" s="2">
        <f t="shared" si="68"/>
        <v>0</v>
      </c>
      <c r="AK77" s="2">
        <f t="shared" si="68"/>
        <v>0</v>
      </c>
      <c r="AL77" s="2">
        <f t="shared" si="68"/>
        <v>0</v>
      </c>
      <c r="AM77" s="2">
        <f t="shared" si="68"/>
        <v>0</v>
      </c>
      <c r="AN77" s="2">
        <f t="shared" si="68"/>
        <v>0</v>
      </c>
      <c r="AO77" s="2">
        <f t="shared" si="68"/>
        <v>0</v>
      </c>
      <c r="AP77" s="2">
        <f t="shared" si="68"/>
        <v>0</v>
      </c>
      <c r="AQ77" s="2">
        <f t="shared" si="68"/>
        <v>0</v>
      </c>
      <c r="AR77" s="2">
        <f t="shared" si="68"/>
        <v>0</v>
      </c>
      <c r="AS77" s="2">
        <f t="shared" si="68"/>
        <v>0</v>
      </c>
      <c r="AT77" s="2">
        <f t="shared" si="68"/>
        <v>0</v>
      </c>
      <c r="AU77" s="2">
        <f t="shared" ref="AU77:BZ77" si="69">AU79</f>
        <v>0</v>
      </c>
      <c r="AV77" s="2">
        <f t="shared" si="69"/>
        <v>0</v>
      </c>
      <c r="AW77" s="2">
        <f t="shared" si="69"/>
        <v>0</v>
      </c>
      <c r="AX77" s="2">
        <f t="shared" si="69"/>
        <v>0</v>
      </c>
      <c r="AY77" s="2">
        <f t="shared" si="69"/>
        <v>0</v>
      </c>
      <c r="AZ77" s="2">
        <f t="shared" si="69"/>
        <v>0</v>
      </c>
      <c r="BA77" s="2">
        <f t="shared" si="69"/>
        <v>0</v>
      </c>
      <c r="BB77" s="2">
        <f t="shared" si="69"/>
        <v>0</v>
      </c>
      <c r="BC77" s="2">
        <f t="shared" si="69"/>
        <v>0</v>
      </c>
      <c r="BD77" s="2">
        <f t="shared" si="69"/>
        <v>0</v>
      </c>
      <c r="BE77" s="2">
        <f t="shared" si="69"/>
        <v>0</v>
      </c>
      <c r="BF77" s="2">
        <f t="shared" si="69"/>
        <v>0</v>
      </c>
      <c r="BG77" s="2">
        <f t="shared" si="69"/>
        <v>0</v>
      </c>
      <c r="BH77" s="2">
        <f t="shared" si="69"/>
        <v>0</v>
      </c>
      <c r="BI77" s="2">
        <f t="shared" si="69"/>
        <v>0</v>
      </c>
      <c r="BJ77" s="2">
        <f t="shared" si="69"/>
        <v>0</v>
      </c>
      <c r="BK77" s="2">
        <f t="shared" si="69"/>
        <v>0</v>
      </c>
      <c r="BL77" s="2">
        <f t="shared" si="69"/>
        <v>0</v>
      </c>
      <c r="BM77" s="2">
        <f t="shared" si="69"/>
        <v>0</v>
      </c>
      <c r="BN77" s="2">
        <f t="shared" si="69"/>
        <v>0</v>
      </c>
      <c r="BO77" s="2">
        <f t="shared" si="69"/>
        <v>0</v>
      </c>
      <c r="BP77" s="2">
        <f t="shared" si="69"/>
        <v>0</v>
      </c>
      <c r="BQ77" s="2">
        <f t="shared" si="69"/>
        <v>0</v>
      </c>
      <c r="BR77" s="2">
        <f t="shared" si="69"/>
        <v>0</v>
      </c>
      <c r="BS77" s="2">
        <f t="shared" si="69"/>
        <v>0</v>
      </c>
      <c r="BT77" s="2">
        <f t="shared" si="69"/>
        <v>0</v>
      </c>
      <c r="BU77" s="2">
        <f t="shared" si="69"/>
        <v>0</v>
      </c>
      <c r="BV77" s="2">
        <f t="shared" si="69"/>
        <v>0</v>
      </c>
      <c r="BW77" s="2">
        <f t="shared" si="69"/>
        <v>0</v>
      </c>
      <c r="BX77" s="2">
        <f t="shared" si="69"/>
        <v>0</v>
      </c>
      <c r="BY77" s="2">
        <f t="shared" si="69"/>
        <v>0</v>
      </c>
      <c r="BZ77" s="2">
        <f t="shared" si="69"/>
        <v>0</v>
      </c>
      <c r="CA77" s="2">
        <f t="shared" ref="CA77:DF77" si="70">CA79</f>
        <v>0</v>
      </c>
      <c r="CB77" s="2">
        <f t="shared" si="70"/>
        <v>0</v>
      </c>
      <c r="CC77" s="2">
        <f t="shared" si="70"/>
        <v>0</v>
      </c>
      <c r="CD77" s="2">
        <f t="shared" si="70"/>
        <v>0</v>
      </c>
      <c r="CE77" s="2">
        <f t="shared" si="70"/>
        <v>0</v>
      </c>
      <c r="CF77" s="2">
        <f t="shared" si="70"/>
        <v>0</v>
      </c>
      <c r="CG77" s="2">
        <f t="shared" si="70"/>
        <v>0</v>
      </c>
      <c r="CH77" s="2">
        <f t="shared" si="70"/>
        <v>0</v>
      </c>
      <c r="CI77" s="2">
        <f t="shared" si="70"/>
        <v>0</v>
      </c>
      <c r="CJ77" s="2">
        <f t="shared" si="70"/>
        <v>0</v>
      </c>
      <c r="CK77" s="2">
        <f t="shared" si="70"/>
        <v>0</v>
      </c>
      <c r="CL77" s="2">
        <f t="shared" si="70"/>
        <v>0</v>
      </c>
      <c r="CM77" s="2">
        <f t="shared" si="70"/>
        <v>0</v>
      </c>
      <c r="CN77" s="2">
        <f t="shared" si="70"/>
        <v>0</v>
      </c>
      <c r="CO77" s="2">
        <f t="shared" si="70"/>
        <v>0</v>
      </c>
      <c r="CP77" s="2">
        <f t="shared" si="70"/>
        <v>0</v>
      </c>
      <c r="CQ77" s="2">
        <f t="shared" si="70"/>
        <v>0</v>
      </c>
      <c r="CR77" s="2">
        <f t="shared" si="70"/>
        <v>0</v>
      </c>
      <c r="CS77" s="2">
        <f t="shared" si="70"/>
        <v>0</v>
      </c>
      <c r="CT77" s="2">
        <f t="shared" si="70"/>
        <v>0</v>
      </c>
      <c r="CU77" s="2">
        <f t="shared" si="70"/>
        <v>0</v>
      </c>
      <c r="CV77" s="2">
        <f t="shared" si="70"/>
        <v>0</v>
      </c>
      <c r="CW77" s="2">
        <f t="shared" si="70"/>
        <v>0</v>
      </c>
      <c r="CX77" s="2">
        <f t="shared" si="70"/>
        <v>0</v>
      </c>
      <c r="CY77" s="2">
        <f t="shared" si="70"/>
        <v>0</v>
      </c>
      <c r="CZ77" s="2">
        <f t="shared" si="70"/>
        <v>0</v>
      </c>
      <c r="DA77" s="2">
        <f t="shared" si="70"/>
        <v>0</v>
      </c>
      <c r="DB77" s="2">
        <f t="shared" si="70"/>
        <v>0</v>
      </c>
      <c r="DC77" s="2">
        <f t="shared" si="70"/>
        <v>0</v>
      </c>
      <c r="DD77" s="2">
        <f t="shared" si="70"/>
        <v>0</v>
      </c>
      <c r="DE77" s="2">
        <f t="shared" si="70"/>
        <v>0</v>
      </c>
      <c r="DF77" s="2">
        <f t="shared" si="70"/>
        <v>0</v>
      </c>
      <c r="DG77" s="3">
        <f t="shared" ref="DG77:EL77" si="71">DG79</f>
        <v>0</v>
      </c>
      <c r="DH77" s="3">
        <f t="shared" si="71"/>
        <v>0</v>
      </c>
      <c r="DI77" s="3">
        <f t="shared" si="71"/>
        <v>0</v>
      </c>
      <c r="DJ77" s="3">
        <f t="shared" si="71"/>
        <v>0</v>
      </c>
      <c r="DK77" s="3">
        <f t="shared" si="71"/>
        <v>0</v>
      </c>
      <c r="DL77" s="3">
        <f t="shared" si="71"/>
        <v>0</v>
      </c>
      <c r="DM77" s="3">
        <f t="shared" si="71"/>
        <v>0</v>
      </c>
      <c r="DN77" s="3">
        <f t="shared" si="71"/>
        <v>0</v>
      </c>
      <c r="DO77" s="3">
        <f t="shared" si="71"/>
        <v>0</v>
      </c>
      <c r="DP77" s="3">
        <f t="shared" si="71"/>
        <v>0</v>
      </c>
      <c r="DQ77" s="3">
        <f t="shared" si="71"/>
        <v>0</v>
      </c>
      <c r="DR77" s="3">
        <f t="shared" si="71"/>
        <v>0</v>
      </c>
      <c r="DS77" s="3">
        <f t="shared" si="71"/>
        <v>0</v>
      </c>
      <c r="DT77" s="3">
        <f t="shared" si="71"/>
        <v>0</v>
      </c>
      <c r="DU77" s="3">
        <f t="shared" si="71"/>
        <v>0</v>
      </c>
      <c r="DV77" s="3">
        <f t="shared" si="71"/>
        <v>0</v>
      </c>
      <c r="DW77" s="3">
        <f t="shared" si="71"/>
        <v>0</v>
      </c>
      <c r="DX77" s="3">
        <f t="shared" si="71"/>
        <v>0</v>
      </c>
      <c r="DY77" s="3">
        <f t="shared" si="71"/>
        <v>0</v>
      </c>
      <c r="DZ77" s="3">
        <f t="shared" si="71"/>
        <v>0</v>
      </c>
      <c r="EA77" s="3">
        <f t="shared" si="71"/>
        <v>0</v>
      </c>
      <c r="EB77" s="3">
        <f t="shared" si="71"/>
        <v>0</v>
      </c>
      <c r="EC77" s="3">
        <f t="shared" si="71"/>
        <v>0</v>
      </c>
      <c r="ED77" s="3">
        <f t="shared" si="71"/>
        <v>0</v>
      </c>
      <c r="EE77" s="3">
        <f t="shared" si="71"/>
        <v>0</v>
      </c>
      <c r="EF77" s="3">
        <f t="shared" si="71"/>
        <v>0</v>
      </c>
      <c r="EG77" s="3">
        <f t="shared" si="71"/>
        <v>0</v>
      </c>
      <c r="EH77" s="3">
        <f t="shared" si="71"/>
        <v>0</v>
      </c>
      <c r="EI77" s="3">
        <f t="shared" si="71"/>
        <v>0</v>
      </c>
      <c r="EJ77" s="3">
        <f t="shared" si="71"/>
        <v>0</v>
      </c>
      <c r="EK77" s="3">
        <f t="shared" si="71"/>
        <v>0</v>
      </c>
      <c r="EL77" s="3">
        <f t="shared" si="71"/>
        <v>0</v>
      </c>
      <c r="EM77" s="3">
        <f t="shared" ref="EM77:FR77" si="72">EM79</f>
        <v>0</v>
      </c>
      <c r="EN77" s="3">
        <f t="shared" si="72"/>
        <v>0</v>
      </c>
      <c r="EO77" s="3">
        <f t="shared" si="72"/>
        <v>0</v>
      </c>
      <c r="EP77" s="3">
        <f t="shared" si="72"/>
        <v>0</v>
      </c>
      <c r="EQ77" s="3">
        <f t="shared" si="72"/>
        <v>0</v>
      </c>
      <c r="ER77" s="3">
        <f t="shared" si="72"/>
        <v>0</v>
      </c>
      <c r="ES77" s="3">
        <f t="shared" si="72"/>
        <v>0</v>
      </c>
      <c r="ET77" s="3">
        <f t="shared" si="72"/>
        <v>0</v>
      </c>
      <c r="EU77" s="3">
        <f t="shared" si="72"/>
        <v>0</v>
      </c>
      <c r="EV77" s="3">
        <f t="shared" si="72"/>
        <v>0</v>
      </c>
      <c r="EW77" s="3">
        <f t="shared" si="72"/>
        <v>0</v>
      </c>
      <c r="EX77" s="3">
        <f t="shared" si="72"/>
        <v>0</v>
      </c>
      <c r="EY77" s="3">
        <f t="shared" si="72"/>
        <v>0</v>
      </c>
      <c r="EZ77" s="3">
        <f t="shared" si="72"/>
        <v>0</v>
      </c>
      <c r="FA77" s="3">
        <f t="shared" si="72"/>
        <v>0</v>
      </c>
      <c r="FB77" s="3">
        <f t="shared" si="72"/>
        <v>0</v>
      </c>
      <c r="FC77" s="3">
        <f t="shared" si="72"/>
        <v>0</v>
      </c>
      <c r="FD77" s="3">
        <f t="shared" si="72"/>
        <v>0</v>
      </c>
      <c r="FE77" s="3">
        <f t="shared" si="72"/>
        <v>0</v>
      </c>
      <c r="FF77" s="3">
        <f t="shared" si="72"/>
        <v>0</v>
      </c>
      <c r="FG77" s="3">
        <f t="shared" si="72"/>
        <v>0</v>
      </c>
      <c r="FH77" s="3">
        <f t="shared" si="72"/>
        <v>0</v>
      </c>
      <c r="FI77" s="3">
        <f t="shared" si="72"/>
        <v>0</v>
      </c>
      <c r="FJ77" s="3">
        <f t="shared" si="72"/>
        <v>0</v>
      </c>
      <c r="FK77" s="3">
        <f t="shared" si="72"/>
        <v>0</v>
      </c>
      <c r="FL77" s="3">
        <f t="shared" si="72"/>
        <v>0</v>
      </c>
      <c r="FM77" s="3">
        <f t="shared" si="72"/>
        <v>0</v>
      </c>
      <c r="FN77" s="3">
        <f t="shared" si="72"/>
        <v>0</v>
      </c>
      <c r="FO77" s="3">
        <f t="shared" si="72"/>
        <v>0</v>
      </c>
      <c r="FP77" s="3">
        <f t="shared" si="72"/>
        <v>0</v>
      </c>
      <c r="FQ77" s="3">
        <f t="shared" si="72"/>
        <v>0</v>
      </c>
      <c r="FR77" s="3">
        <f t="shared" si="72"/>
        <v>0</v>
      </c>
      <c r="FS77" s="3">
        <f t="shared" ref="FS77:GX77" si="73">FS79</f>
        <v>0</v>
      </c>
      <c r="FT77" s="3">
        <f t="shared" si="73"/>
        <v>0</v>
      </c>
      <c r="FU77" s="3">
        <f t="shared" si="73"/>
        <v>0</v>
      </c>
      <c r="FV77" s="3">
        <f t="shared" si="73"/>
        <v>0</v>
      </c>
      <c r="FW77" s="3">
        <f t="shared" si="73"/>
        <v>0</v>
      </c>
      <c r="FX77" s="3">
        <f t="shared" si="73"/>
        <v>0</v>
      </c>
      <c r="FY77" s="3">
        <f t="shared" si="73"/>
        <v>0</v>
      </c>
      <c r="FZ77" s="3">
        <f t="shared" si="73"/>
        <v>0</v>
      </c>
      <c r="GA77" s="3">
        <f t="shared" si="73"/>
        <v>0</v>
      </c>
      <c r="GB77" s="3">
        <f t="shared" si="73"/>
        <v>0</v>
      </c>
      <c r="GC77" s="3">
        <f t="shared" si="73"/>
        <v>0</v>
      </c>
      <c r="GD77" s="3">
        <f t="shared" si="73"/>
        <v>0</v>
      </c>
      <c r="GE77" s="3">
        <f t="shared" si="73"/>
        <v>0</v>
      </c>
      <c r="GF77" s="3">
        <f t="shared" si="73"/>
        <v>0</v>
      </c>
      <c r="GG77" s="3">
        <f t="shared" si="73"/>
        <v>0</v>
      </c>
      <c r="GH77" s="3">
        <f t="shared" si="73"/>
        <v>0</v>
      </c>
      <c r="GI77" s="3">
        <f t="shared" si="73"/>
        <v>0</v>
      </c>
      <c r="GJ77" s="3">
        <f t="shared" si="73"/>
        <v>0</v>
      </c>
      <c r="GK77" s="3">
        <f t="shared" si="73"/>
        <v>0</v>
      </c>
      <c r="GL77" s="3">
        <f t="shared" si="73"/>
        <v>0</v>
      </c>
      <c r="GM77" s="3">
        <f t="shared" si="73"/>
        <v>0</v>
      </c>
      <c r="GN77" s="3">
        <f t="shared" si="73"/>
        <v>0</v>
      </c>
      <c r="GO77" s="3">
        <f t="shared" si="73"/>
        <v>0</v>
      </c>
      <c r="GP77" s="3">
        <f t="shared" si="73"/>
        <v>0</v>
      </c>
      <c r="GQ77" s="3">
        <f t="shared" si="73"/>
        <v>0</v>
      </c>
      <c r="GR77" s="3">
        <f t="shared" si="73"/>
        <v>0</v>
      </c>
      <c r="GS77" s="3">
        <f t="shared" si="73"/>
        <v>0</v>
      </c>
      <c r="GT77" s="3">
        <f t="shared" si="73"/>
        <v>0</v>
      </c>
      <c r="GU77" s="3">
        <f t="shared" si="73"/>
        <v>0</v>
      </c>
      <c r="GV77" s="3">
        <f t="shared" si="73"/>
        <v>0</v>
      </c>
      <c r="GW77" s="3">
        <f t="shared" si="73"/>
        <v>0</v>
      </c>
      <c r="GX77" s="3">
        <f t="shared" si="73"/>
        <v>0</v>
      </c>
    </row>
    <row r="79" spans="1:206" x14ac:dyDescent="0.2">
      <c r="A79" s="2">
        <v>51</v>
      </c>
      <c r="B79" s="2">
        <f>B75</f>
        <v>1</v>
      </c>
      <c r="C79" s="2">
        <f>A75</f>
        <v>5</v>
      </c>
      <c r="D79" s="2">
        <f>ROW(A75)</f>
        <v>75</v>
      </c>
      <c r="E79" s="2"/>
      <c r="F79" s="2" t="str">
        <f>IF(F75&lt;&gt;"",F75,"")</f>
        <v>Новый подраздел</v>
      </c>
      <c r="G79" s="2" t="str">
        <f>IF(G75&lt;&gt;"",G75,"")</f>
        <v>Дворовой проезд</v>
      </c>
      <c r="H79" s="2">
        <v>0</v>
      </c>
      <c r="I79" s="2"/>
      <c r="J79" s="2"/>
      <c r="K79" s="2"/>
      <c r="L79" s="2"/>
      <c r="M79" s="2"/>
      <c r="N79" s="2"/>
      <c r="O79" s="2">
        <f t="shared" ref="O79:T79" si="74">ROUND(AB79,0)</f>
        <v>0</v>
      </c>
      <c r="P79" s="2">
        <f t="shared" si="74"/>
        <v>0</v>
      </c>
      <c r="Q79" s="2">
        <f t="shared" si="74"/>
        <v>0</v>
      </c>
      <c r="R79" s="2">
        <f t="shared" si="74"/>
        <v>0</v>
      </c>
      <c r="S79" s="2">
        <f t="shared" si="74"/>
        <v>0</v>
      </c>
      <c r="T79" s="2">
        <f t="shared" si="74"/>
        <v>0</v>
      </c>
      <c r="U79" s="2">
        <f>AH79</f>
        <v>0</v>
      </c>
      <c r="V79" s="2">
        <f>AI79</f>
        <v>0</v>
      </c>
      <c r="W79" s="2">
        <f>ROUND(AJ79,0)</f>
        <v>0</v>
      </c>
      <c r="X79" s="2">
        <f>ROUND(AK79,0)</f>
        <v>0</v>
      </c>
      <c r="Y79" s="2">
        <f>ROUND(AL79,0)</f>
        <v>0</v>
      </c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>
        <f t="shared" ref="AO79:BD79" si="75">ROUND(BX79,0)</f>
        <v>0</v>
      </c>
      <c r="AP79" s="2">
        <f t="shared" si="75"/>
        <v>0</v>
      </c>
      <c r="AQ79" s="2">
        <f t="shared" si="75"/>
        <v>0</v>
      </c>
      <c r="AR79" s="2">
        <f t="shared" si="75"/>
        <v>0</v>
      </c>
      <c r="AS79" s="2">
        <f t="shared" si="75"/>
        <v>0</v>
      </c>
      <c r="AT79" s="2">
        <f t="shared" si="75"/>
        <v>0</v>
      </c>
      <c r="AU79" s="2">
        <f t="shared" si="75"/>
        <v>0</v>
      </c>
      <c r="AV79" s="2">
        <f t="shared" si="75"/>
        <v>0</v>
      </c>
      <c r="AW79" s="2">
        <f t="shared" si="75"/>
        <v>0</v>
      </c>
      <c r="AX79" s="2">
        <f t="shared" si="75"/>
        <v>0</v>
      </c>
      <c r="AY79" s="2">
        <f t="shared" si="75"/>
        <v>0</v>
      </c>
      <c r="AZ79" s="2">
        <f t="shared" si="75"/>
        <v>0</v>
      </c>
      <c r="BA79" s="2">
        <f t="shared" si="75"/>
        <v>0</v>
      </c>
      <c r="BB79" s="2">
        <f t="shared" si="75"/>
        <v>0</v>
      </c>
      <c r="BC79" s="2">
        <f t="shared" si="75"/>
        <v>0</v>
      </c>
      <c r="BD79" s="2">
        <f t="shared" si="75"/>
        <v>0</v>
      </c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>
        <v>0</v>
      </c>
    </row>
    <row r="81" spans="1:23" x14ac:dyDescent="0.2">
      <c r="A81" s="4">
        <v>50</v>
      </c>
      <c r="B81" s="4">
        <v>0</v>
      </c>
      <c r="C81" s="4">
        <v>0</v>
      </c>
      <c r="D81" s="4">
        <v>1</v>
      </c>
      <c r="E81" s="4">
        <v>201</v>
      </c>
      <c r="F81" s="4">
        <f>ROUND(Source!O79,O81)</f>
        <v>0</v>
      </c>
      <c r="G81" s="4" t="s">
        <v>89</v>
      </c>
      <c r="H81" s="4" t="s">
        <v>90</v>
      </c>
      <c r="I81" s="4"/>
      <c r="J81" s="4"/>
      <c r="K81" s="4">
        <v>201</v>
      </c>
      <c r="L81" s="4">
        <v>1</v>
      </c>
      <c r="M81" s="4">
        <v>3</v>
      </c>
      <c r="N81" s="4" t="s">
        <v>3</v>
      </c>
      <c r="O81" s="4">
        <v>0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202</v>
      </c>
      <c r="F82" s="4">
        <f>ROUND(Source!P79,O82)</f>
        <v>0</v>
      </c>
      <c r="G82" s="4" t="s">
        <v>91</v>
      </c>
      <c r="H82" s="4" t="s">
        <v>92</v>
      </c>
      <c r="I82" s="4"/>
      <c r="J82" s="4"/>
      <c r="K82" s="4">
        <v>202</v>
      </c>
      <c r="L82" s="4">
        <v>2</v>
      </c>
      <c r="M82" s="4">
        <v>3</v>
      </c>
      <c r="N82" s="4" t="s">
        <v>3</v>
      </c>
      <c r="O82" s="4">
        <v>0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222</v>
      </c>
      <c r="F83" s="4">
        <f>ROUND(Source!AO79,O83)</f>
        <v>0</v>
      </c>
      <c r="G83" s="4" t="s">
        <v>93</v>
      </c>
      <c r="H83" s="4" t="s">
        <v>94</v>
      </c>
      <c r="I83" s="4"/>
      <c r="J83" s="4"/>
      <c r="K83" s="4">
        <v>222</v>
      </c>
      <c r="L83" s="4">
        <v>3</v>
      </c>
      <c r="M83" s="4">
        <v>3</v>
      </c>
      <c r="N83" s="4" t="s">
        <v>3</v>
      </c>
      <c r="O83" s="4">
        <v>0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225</v>
      </c>
      <c r="F84" s="4">
        <f>ROUND(Source!AV79,O84)</f>
        <v>0</v>
      </c>
      <c r="G84" s="4" t="s">
        <v>95</v>
      </c>
      <c r="H84" s="4" t="s">
        <v>96</v>
      </c>
      <c r="I84" s="4"/>
      <c r="J84" s="4"/>
      <c r="K84" s="4">
        <v>225</v>
      </c>
      <c r="L84" s="4">
        <v>4</v>
      </c>
      <c r="M84" s="4">
        <v>3</v>
      </c>
      <c r="N84" s="4" t="s">
        <v>3</v>
      </c>
      <c r="O84" s="4">
        <v>0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226</v>
      </c>
      <c r="F85" s="4">
        <f>ROUND(Source!AW79,O85)</f>
        <v>0</v>
      </c>
      <c r="G85" s="4" t="s">
        <v>97</v>
      </c>
      <c r="H85" s="4" t="s">
        <v>98</v>
      </c>
      <c r="I85" s="4"/>
      <c r="J85" s="4"/>
      <c r="K85" s="4">
        <v>226</v>
      </c>
      <c r="L85" s="4">
        <v>5</v>
      </c>
      <c r="M85" s="4">
        <v>3</v>
      </c>
      <c r="N85" s="4" t="s">
        <v>3</v>
      </c>
      <c r="O85" s="4">
        <v>0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227</v>
      </c>
      <c r="F86" s="4">
        <f>ROUND(Source!AX79,O86)</f>
        <v>0</v>
      </c>
      <c r="G86" s="4" t="s">
        <v>99</v>
      </c>
      <c r="H86" s="4" t="s">
        <v>100</v>
      </c>
      <c r="I86" s="4"/>
      <c r="J86" s="4"/>
      <c r="K86" s="4">
        <v>227</v>
      </c>
      <c r="L86" s="4">
        <v>6</v>
      </c>
      <c r="M86" s="4">
        <v>3</v>
      </c>
      <c r="N86" s="4" t="s">
        <v>3</v>
      </c>
      <c r="O86" s="4">
        <v>0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228</v>
      </c>
      <c r="F87" s="4">
        <f>ROUND(Source!AY79,O87)</f>
        <v>0</v>
      </c>
      <c r="G87" s="4" t="s">
        <v>101</v>
      </c>
      <c r="H87" s="4" t="s">
        <v>102</v>
      </c>
      <c r="I87" s="4"/>
      <c r="J87" s="4"/>
      <c r="K87" s="4">
        <v>228</v>
      </c>
      <c r="L87" s="4">
        <v>7</v>
      </c>
      <c r="M87" s="4">
        <v>3</v>
      </c>
      <c r="N87" s="4" t="s">
        <v>3</v>
      </c>
      <c r="O87" s="4">
        <v>0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216</v>
      </c>
      <c r="F88" s="4">
        <f>ROUND(Source!AP79,O88)</f>
        <v>0</v>
      </c>
      <c r="G88" s="4" t="s">
        <v>103</v>
      </c>
      <c r="H88" s="4" t="s">
        <v>104</v>
      </c>
      <c r="I88" s="4"/>
      <c r="J88" s="4"/>
      <c r="K88" s="4">
        <v>216</v>
      </c>
      <c r="L88" s="4">
        <v>8</v>
      </c>
      <c r="M88" s="4">
        <v>3</v>
      </c>
      <c r="N88" s="4" t="s">
        <v>3</v>
      </c>
      <c r="O88" s="4">
        <v>0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223</v>
      </c>
      <c r="F89" s="4">
        <f>ROUND(Source!AQ79,O89)</f>
        <v>0</v>
      </c>
      <c r="G89" s="4" t="s">
        <v>105</v>
      </c>
      <c r="H89" s="4" t="s">
        <v>106</v>
      </c>
      <c r="I89" s="4"/>
      <c r="J89" s="4"/>
      <c r="K89" s="4">
        <v>223</v>
      </c>
      <c r="L89" s="4">
        <v>9</v>
      </c>
      <c r="M89" s="4">
        <v>3</v>
      </c>
      <c r="N89" s="4" t="s">
        <v>3</v>
      </c>
      <c r="O89" s="4">
        <v>0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229</v>
      </c>
      <c r="F90" s="4">
        <f>ROUND(Source!AZ79,O90)</f>
        <v>0</v>
      </c>
      <c r="G90" s="4" t="s">
        <v>107</v>
      </c>
      <c r="H90" s="4" t="s">
        <v>108</v>
      </c>
      <c r="I90" s="4"/>
      <c r="J90" s="4"/>
      <c r="K90" s="4">
        <v>229</v>
      </c>
      <c r="L90" s="4">
        <v>10</v>
      </c>
      <c r="M90" s="4">
        <v>3</v>
      </c>
      <c r="N90" s="4" t="s">
        <v>3</v>
      </c>
      <c r="O90" s="4">
        <v>0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203</v>
      </c>
      <c r="F91" s="4">
        <f>ROUND(Source!Q79,O91)</f>
        <v>0</v>
      </c>
      <c r="G91" s="4" t="s">
        <v>109</v>
      </c>
      <c r="H91" s="4" t="s">
        <v>110</v>
      </c>
      <c r="I91" s="4"/>
      <c r="J91" s="4"/>
      <c r="K91" s="4">
        <v>203</v>
      </c>
      <c r="L91" s="4">
        <v>11</v>
      </c>
      <c r="M91" s="4">
        <v>3</v>
      </c>
      <c r="N91" s="4" t="s">
        <v>3</v>
      </c>
      <c r="O91" s="4">
        <v>0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231</v>
      </c>
      <c r="F92" s="4">
        <f>ROUND(Source!BB79,O92)</f>
        <v>0</v>
      </c>
      <c r="G92" s="4" t="s">
        <v>111</v>
      </c>
      <c r="H92" s="4" t="s">
        <v>112</v>
      </c>
      <c r="I92" s="4"/>
      <c r="J92" s="4"/>
      <c r="K92" s="4">
        <v>231</v>
      </c>
      <c r="L92" s="4">
        <v>12</v>
      </c>
      <c r="M92" s="4">
        <v>3</v>
      </c>
      <c r="N92" s="4" t="s">
        <v>3</v>
      </c>
      <c r="O92" s="4">
        <v>0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204</v>
      </c>
      <c r="F93" s="4">
        <f>ROUND(Source!R79,O93)</f>
        <v>0</v>
      </c>
      <c r="G93" s="4" t="s">
        <v>113</v>
      </c>
      <c r="H93" s="4" t="s">
        <v>114</v>
      </c>
      <c r="I93" s="4"/>
      <c r="J93" s="4"/>
      <c r="K93" s="4">
        <v>204</v>
      </c>
      <c r="L93" s="4">
        <v>13</v>
      </c>
      <c r="M93" s="4">
        <v>3</v>
      </c>
      <c r="N93" s="4" t="s">
        <v>3</v>
      </c>
      <c r="O93" s="4">
        <v>0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205</v>
      </c>
      <c r="F94" s="4">
        <f>ROUND(Source!S79,O94)</f>
        <v>0</v>
      </c>
      <c r="G94" s="4" t="s">
        <v>115</v>
      </c>
      <c r="H94" s="4" t="s">
        <v>116</v>
      </c>
      <c r="I94" s="4"/>
      <c r="J94" s="4"/>
      <c r="K94" s="4">
        <v>205</v>
      </c>
      <c r="L94" s="4">
        <v>14</v>
      </c>
      <c r="M94" s="4">
        <v>3</v>
      </c>
      <c r="N94" s="4" t="s">
        <v>3</v>
      </c>
      <c r="O94" s="4">
        <v>0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232</v>
      </c>
      <c r="F95" s="4">
        <f>ROUND(Source!BC79,O95)</f>
        <v>0</v>
      </c>
      <c r="G95" s="4" t="s">
        <v>117</v>
      </c>
      <c r="H95" s="4" t="s">
        <v>118</v>
      </c>
      <c r="I95" s="4"/>
      <c r="J95" s="4"/>
      <c r="K95" s="4">
        <v>232</v>
      </c>
      <c r="L95" s="4">
        <v>15</v>
      </c>
      <c r="M95" s="4">
        <v>3</v>
      </c>
      <c r="N95" s="4" t="s">
        <v>3</v>
      </c>
      <c r="O95" s="4">
        <v>0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214</v>
      </c>
      <c r="F96" s="4">
        <f>ROUND(Source!AS79,O96)</f>
        <v>0</v>
      </c>
      <c r="G96" s="4" t="s">
        <v>119</v>
      </c>
      <c r="H96" s="4" t="s">
        <v>120</v>
      </c>
      <c r="I96" s="4"/>
      <c r="J96" s="4"/>
      <c r="K96" s="4">
        <v>214</v>
      </c>
      <c r="L96" s="4">
        <v>16</v>
      </c>
      <c r="M96" s="4">
        <v>3</v>
      </c>
      <c r="N96" s="4" t="s">
        <v>3</v>
      </c>
      <c r="O96" s="4">
        <v>0</v>
      </c>
      <c r="P96" s="4"/>
      <c r="Q96" s="4"/>
      <c r="R96" s="4"/>
      <c r="S96" s="4"/>
      <c r="T96" s="4"/>
      <c r="U96" s="4"/>
      <c r="V96" s="4"/>
      <c r="W96" s="4"/>
    </row>
    <row r="97" spans="1:206" x14ac:dyDescent="0.2">
      <c r="A97" s="4">
        <v>50</v>
      </c>
      <c r="B97" s="4">
        <v>0</v>
      </c>
      <c r="C97" s="4">
        <v>0</v>
      </c>
      <c r="D97" s="4">
        <v>1</v>
      </c>
      <c r="E97" s="4">
        <v>215</v>
      </c>
      <c r="F97" s="4">
        <f>ROUND(Source!AT79,O97)</f>
        <v>0</v>
      </c>
      <c r="G97" s="4" t="s">
        <v>121</v>
      </c>
      <c r="H97" s="4" t="s">
        <v>122</v>
      </c>
      <c r="I97" s="4"/>
      <c r="J97" s="4"/>
      <c r="K97" s="4">
        <v>215</v>
      </c>
      <c r="L97" s="4">
        <v>17</v>
      </c>
      <c r="M97" s="4">
        <v>3</v>
      </c>
      <c r="N97" s="4" t="s">
        <v>3</v>
      </c>
      <c r="O97" s="4">
        <v>0</v>
      </c>
      <c r="P97" s="4"/>
      <c r="Q97" s="4"/>
      <c r="R97" s="4"/>
      <c r="S97" s="4"/>
      <c r="T97" s="4"/>
      <c r="U97" s="4"/>
      <c r="V97" s="4"/>
      <c r="W97" s="4"/>
    </row>
    <row r="98" spans="1:206" x14ac:dyDescent="0.2">
      <c r="A98" s="4">
        <v>50</v>
      </c>
      <c r="B98" s="4">
        <v>0</v>
      </c>
      <c r="C98" s="4">
        <v>0</v>
      </c>
      <c r="D98" s="4">
        <v>1</v>
      </c>
      <c r="E98" s="4">
        <v>217</v>
      </c>
      <c r="F98" s="4">
        <f>ROUND(Source!AU79,O98)</f>
        <v>0</v>
      </c>
      <c r="G98" s="4" t="s">
        <v>123</v>
      </c>
      <c r="H98" s="4" t="s">
        <v>124</v>
      </c>
      <c r="I98" s="4"/>
      <c r="J98" s="4"/>
      <c r="K98" s="4">
        <v>217</v>
      </c>
      <c r="L98" s="4">
        <v>18</v>
      </c>
      <c r="M98" s="4">
        <v>3</v>
      </c>
      <c r="N98" s="4" t="s">
        <v>3</v>
      </c>
      <c r="O98" s="4">
        <v>0</v>
      </c>
      <c r="P98" s="4"/>
      <c r="Q98" s="4"/>
      <c r="R98" s="4"/>
      <c r="S98" s="4"/>
      <c r="T98" s="4"/>
      <c r="U98" s="4"/>
      <c r="V98" s="4"/>
      <c r="W98" s="4"/>
    </row>
    <row r="99" spans="1:206" x14ac:dyDescent="0.2">
      <c r="A99" s="4">
        <v>50</v>
      </c>
      <c r="B99" s="4">
        <v>0</v>
      </c>
      <c r="C99" s="4">
        <v>0</v>
      </c>
      <c r="D99" s="4">
        <v>1</v>
      </c>
      <c r="E99" s="4">
        <v>230</v>
      </c>
      <c r="F99" s="4">
        <f>ROUND(Source!BA79,O99)</f>
        <v>0</v>
      </c>
      <c r="G99" s="4" t="s">
        <v>125</v>
      </c>
      <c r="H99" s="4" t="s">
        <v>126</v>
      </c>
      <c r="I99" s="4"/>
      <c r="J99" s="4"/>
      <c r="K99" s="4">
        <v>230</v>
      </c>
      <c r="L99" s="4">
        <v>19</v>
      </c>
      <c r="M99" s="4">
        <v>3</v>
      </c>
      <c r="N99" s="4" t="s">
        <v>3</v>
      </c>
      <c r="O99" s="4">
        <v>0</v>
      </c>
      <c r="P99" s="4"/>
      <c r="Q99" s="4"/>
      <c r="R99" s="4"/>
      <c r="S99" s="4"/>
      <c r="T99" s="4"/>
      <c r="U99" s="4"/>
      <c r="V99" s="4"/>
      <c r="W99" s="4"/>
    </row>
    <row r="100" spans="1:206" x14ac:dyDescent="0.2">
      <c r="A100" s="4">
        <v>50</v>
      </c>
      <c r="B100" s="4">
        <v>0</v>
      </c>
      <c r="C100" s="4">
        <v>0</v>
      </c>
      <c r="D100" s="4">
        <v>1</v>
      </c>
      <c r="E100" s="4">
        <v>206</v>
      </c>
      <c r="F100" s="4">
        <f>ROUND(Source!T79,O100)</f>
        <v>0</v>
      </c>
      <c r="G100" s="4" t="s">
        <v>127</v>
      </c>
      <c r="H100" s="4" t="s">
        <v>128</v>
      </c>
      <c r="I100" s="4"/>
      <c r="J100" s="4"/>
      <c r="K100" s="4">
        <v>206</v>
      </c>
      <c r="L100" s="4">
        <v>20</v>
      </c>
      <c r="M100" s="4">
        <v>3</v>
      </c>
      <c r="N100" s="4" t="s">
        <v>3</v>
      </c>
      <c r="O100" s="4">
        <v>0</v>
      </c>
      <c r="P100" s="4"/>
      <c r="Q100" s="4"/>
      <c r="R100" s="4"/>
      <c r="S100" s="4"/>
      <c r="T100" s="4"/>
      <c r="U100" s="4"/>
      <c r="V100" s="4"/>
      <c r="W100" s="4"/>
    </row>
    <row r="101" spans="1:206" x14ac:dyDescent="0.2">
      <c r="A101" s="4">
        <v>50</v>
      </c>
      <c r="B101" s="4">
        <v>0</v>
      </c>
      <c r="C101" s="4">
        <v>0</v>
      </c>
      <c r="D101" s="4">
        <v>1</v>
      </c>
      <c r="E101" s="4">
        <v>207</v>
      </c>
      <c r="F101" s="4">
        <f>Source!U79</f>
        <v>0</v>
      </c>
      <c r="G101" s="4" t="s">
        <v>129</v>
      </c>
      <c r="H101" s="4" t="s">
        <v>130</v>
      </c>
      <c r="I101" s="4"/>
      <c r="J101" s="4"/>
      <c r="K101" s="4">
        <v>207</v>
      </c>
      <c r="L101" s="4">
        <v>21</v>
      </c>
      <c r="M101" s="4">
        <v>3</v>
      </c>
      <c r="N101" s="4" t="s">
        <v>3</v>
      </c>
      <c r="O101" s="4">
        <v>-1</v>
      </c>
      <c r="P101" s="4"/>
      <c r="Q101" s="4"/>
      <c r="R101" s="4"/>
      <c r="S101" s="4"/>
      <c r="T101" s="4"/>
      <c r="U101" s="4"/>
      <c r="V101" s="4"/>
      <c r="W101" s="4"/>
    </row>
    <row r="102" spans="1:206" x14ac:dyDescent="0.2">
      <c r="A102" s="4">
        <v>50</v>
      </c>
      <c r="B102" s="4">
        <v>0</v>
      </c>
      <c r="C102" s="4">
        <v>0</v>
      </c>
      <c r="D102" s="4">
        <v>1</v>
      </c>
      <c r="E102" s="4">
        <v>208</v>
      </c>
      <c r="F102" s="4">
        <f>Source!V79</f>
        <v>0</v>
      </c>
      <c r="G102" s="4" t="s">
        <v>131</v>
      </c>
      <c r="H102" s="4" t="s">
        <v>132</v>
      </c>
      <c r="I102" s="4"/>
      <c r="J102" s="4"/>
      <c r="K102" s="4">
        <v>208</v>
      </c>
      <c r="L102" s="4">
        <v>22</v>
      </c>
      <c r="M102" s="4">
        <v>3</v>
      </c>
      <c r="N102" s="4" t="s">
        <v>3</v>
      </c>
      <c r="O102" s="4">
        <v>-1</v>
      </c>
      <c r="P102" s="4"/>
      <c r="Q102" s="4"/>
      <c r="R102" s="4"/>
      <c r="S102" s="4"/>
      <c r="T102" s="4"/>
      <c r="U102" s="4"/>
      <c r="V102" s="4"/>
      <c r="W102" s="4"/>
    </row>
    <row r="103" spans="1:206" x14ac:dyDescent="0.2">
      <c r="A103" s="4">
        <v>50</v>
      </c>
      <c r="B103" s="4">
        <v>0</v>
      </c>
      <c r="C103" s="4">
        <v>0</v>
      </c>
      <c r="D103" s="4">
        <v>1</v>
      </c>
      <c r="E103" s="4">
        <v>209</v>
      </c>
      <c r="F103" s="4">
        <f>ROUND(Source!W79,O103)</f>
        <v>0</v>
      </c>
      <c r="G103" s="4" t="s">
        <v>133</v>
      </c>
      <c r="H103" s="4" t="s">
        <v>134</v>
      </c>
      <c r="I103" s="4"/>
      <c r="J103" s="4"/>
      <c r="K103" s="4">
        <v>209</v>
      </c>
      <c r="L103" s="4">
        <v>23</v>
      </c>
      <c r="M103" s="4">
        <v>3</v>
      </c>
      <c r="N103" s="4" t="s">
        <v>3</v>
      </c>
      <c r="O103" s="4">
        <v>0</v>
      </c>
      <c r="P103" s="4"/>
      <c r="Q103" s="4"/>
      <c r="R103" s="4"/>
      <c r="S103" s="4"/>
      <c r="T103" s="4"/>
      <c r="U103" s="4"/>
      <c r="V103" s="4"/>
      <c r="W103" s="4"/>
    </row>
    <row r="104" spans="1:206" x14ac:dyDescent="0.2">
      <c r="A104" s="4">
        <v>50</v>
      </c>
      <c r="B104" s="4">
        <v>0</v>
      </c>
      <c r="C104" s="4">
        <v>0</v>
      </c>
      <c r="D104" s="4">
        <v>1</v>
      </c>
      <c r="E104" s="4">
        <v>233</v>
      </c>
      <c r="F104" s="4">
        <f>ROUND(Source!BD79,O104)</f>
        <v>0</v>
      </c>
      <c r="G104" s="4" t="s">
        <v>135</v>
      </c>
      <c r="H104" s="4" t="s">
        <v>136</v>
      </c>
      <c r="I104" s="4"/>
      <c r="J104" s="4"/>
      <c r="K104" s="4">
        <v>233</v>
      </c>
      <c r="L104" s="4">
        <v>24</v>
      </c>
      <c r="M104" s="4">
        <v>3</v>
      </c>
      <c r="N104" s="4" t="s">
        <v>3</v>
      </c>
      <c r="O104" s="4">
        <v>0</v>
      </c>
      <c r="P104" s="4"/>
      <c r="Q104" s="4"/>
      <c r="R104" s="4"/>
      <c r="S104" s="4"/>
      <c r="T104" s="4"/>
      <c r="U104" s="4"/>
      <c r="V104" s="4"/>
      <c r="W104" s="4"/>
    </row>
    <row r="105" spans="1:206" x14ac:dyDescent="0.2">
      <c r="A105" s="4">
        <v>50</v>
      </c>
      <c r="B105" s="4">
        <v>0</v>
      </c>
      <c r="C105" s="4">
        <v>0</v>
      </c>
      <c r="D105" s="4">
        <v>1</v>
      </c>
      <c r="E105" s="4">
        <v>210</v>
      </c>
      <c r="F105" s="4">
        <f>ROUND(Source!X79,O105)</f>
        <v>0</v>
      </c>
      <c r="G105" s="4" t="s">
        <v>137</v>
      </c>
      <c r="H105" s="4" t="s">
        <v>138</v>
      </c>
      <c r="I105" s="4"/>
      <c r="J105" s="4"/>
      <c r="K105" s="4">
        <v>210</v>
      </c>
      <c r="L105" s="4">
        <v>25</v>
      </c>
      <c r="M105" s="4">
        <v>3</v>
      </c>
      <c r="N105" s="4" t="s">
        <v>3</v>
      </c>
      <c r="O105" s="4">
        <v>0</v>
      </c>
      <c r="P105" s="4"/>
      <c r="Q105" s="4"/>
      <c r="R105" s="4"/>
      <c r="S105" s="4"/>
      <c r="T105" s="4"/>
      <c r="U105" s="4"/>
      <c r="V105" s="4"/>
      <c r="W105" s="4"/>
    </row>
    <row r="106" spans="1:206" x14ac:dyDescent="0.2">
      <c r="A106" s="4">
        <v>50</v>
      </c>
      <c r="B106" s="4">
        <v>0</v>
      </c>
      <c r="C106" s="4">
        <v>0</v>
      </c>
      <c r="D106" s="4">
        <v>1</v>
      </c>
      <c r="E106" s="4">
        <v>211</v>
      </c>
      <c r="F106" s="4">
        <f>ROUND(Source!Y79,O106)</f>
        <v>0</v>
      </c>
      <c r="G106" s="4" t="s">
        <v>139</v>
      </c>
      <c r="H106" s="4" t="s">
        <v>140</v>
      </c>
      <c r="I106" s="4"/>
      <c r="J106" s="4"/>
      <c r="K106" s="4">
        <v>211</v>
      </c>
      <c r="L106" s="4">
        <v>26</v>
      </c>
      <c r="M106" s="4">
        <v>3</v>
      </c>
      <c r="N106" s="4" t="s">
        <v>3</v>
      </c>
      <c r="O106" s="4">
        <v>0</v>
      </c>
      <c r="P106" s="4"/>
      <c r="Q106" s="4"/>
      <c r="R106" s="4"/>
      <c r="S106" s="4"/>
      <c r="T106" s="4"/>
      <c r="U106" s="4"/>
      <c r="V106" s="4"/>
      <c r="W106" s="4"/>
    </row>
    <row r="107" spans="1:206" x14ac:dyDescent="0.2">
      <c r="A107" s="4">
        <v>50</v>
      </c>
      <c r="B107" s="4">
        <v>0</v>
      </c>
      <c r="C107" s="4">
        <v>0</v>
      </c>
      <c r="D107" s="4">
        <v>1</v>
      </c>
      <c r="E107" s="4">
        <v>224</v>
      </c>
      <c r="F107" s="4">
        <f>ROUND(Source!AR79,O107)</f>
        <v>0</v>
      </c>
      <c r="G107" s="4" t="s">
        <v>141</v>
      </c>
      <c r="H107" s="4" t="s">
        <v>142</v>
      </c>
      <c r="I107" s="4"/>
      <c r="J107" s="4"/>
      <c r="K107" s="4">
        <v>224</v>
      </c>
      <c r="L107" s="4">
        <v>27</v>
      </c>
      <c r="M107" s="4">
        <v>3</v>
      </c>
      <c r="N107" s="4" t="s">
        <v>3</v>
      </c>
      <c r="O107" s="4">
        <v>0</v>
      </c>
      <c r="P107" s="4"/>
      <c r="Q107" s="4"/>
      <c r="R107" s="4"/>
      <c r="S107" s="4"/>
      <c r="T107" s="4"/>
      <c r="U107" s="4"/>
      <c r="V107" s="4"/>
      <c r="W107" s="4"/>
    </row>
    <row r="109" spans="1:206" x14ac:dyDescent="0.2">
      <c r="A109" s="1">
        <v>5</v>
      </c>
      <c r="B109" s="1">
        <v>1</v>
      </c>
      <c r="C109" s="1"/>
      <c r="D109" s="1">
        <f>ROW(A129)</f>
        <v>129</v>
      </c>
      <c r="E109" s="1"/>
      <c r="F109" s="1" t="s">
        <v>15</v>
      </c>
      <c r="G109" s="1" t="s">
        <v>144</v>
      </c>
      <c r="H109" s="1" t="s">
        <v>3</v>
      </c>
      <c r="I109" s="1">
        <v>0</v>
      </c>
      <c r="J109" s="1"/>
      <c r="K109" s="1">
        <v>-1</v>
      </c>
      <c r="L109" s="1"/>
      <c r="M109" s="1"/>
      <c r="N109" s="1"/>
      <c r="O109" s="1"/>
      <c r="P109" s="1"/>
      <c r="Q109" s="1"/>
      <c r="R109" s="1"/>
      <c r="S109" s="1"/>
      <c r="T109" s="1"/>
      <c r="U109" s="1" t="s">
        <v>3</v>
      </c>
      <c r="V109" s="1">
        <v>0</v>
      </c>
      <c r="W109" s="1"/>
      <c r="X109" s="1"/>
      <c r="Y109" s="1"/>
      <c r="Z109" s="1"/>
      <c r="AA109" s="1"/>
      <c r="AB109" s="1" t="s">
        <v>3</v>
      </c>
      <c r="AC109" s="1" t="s">
        <v>3</v>
      </c>
      <c r="AD109" s="1" t="s">
        <v>3</v>
      </c>
      <c r="AE109" s="1" t="s">
        <v>3</v>
      </c>
      <c r="AF109" s="1" t="s">
        <v>3</v>
      </c>
      <c r="AG109" s="1" t="s">
        <v>3</v>
      </c>
      <c r="AH109" s="1"/>
      <c r="AI109" s="1"/>
      <c r="AJ109" s="1"/>
      <c r="AK109" s="1"/>
      <c r="AL109" s="1"/>
      <c r="AM109" s="1"/>
      <c r="AN109" s="1"/>
      <c r="AO109" s="1"/>
      <c r="AP109" s="1" t="s">
        <v>3</v>
      </c>
      <c r="AQ109" s="1" t="s">
        <v>3</v>
      </c>
      <c r="AR109" s="1" t="s">
        <v>3</v>
      </c>
      <c r="AS109" s="1"/>
      <c r="AT109" s="1"/>
      <c r="AU109" s="1"/>
      <c r="AV109" s="1"/>
      <c r="AW109" s="1"/>
      <c r="AX109" s="1"/>
      <c r="AY109" s="1"/>
      <c r="AZ109" s="1" t="s">
        <v>3</v>
      </c>
      <c r="BA109" s="1"/>
      <c r="BB109" s="1" t="s">
        <v>3</v>
      </c>
      <c r="BC109" s="1" t="s">
        <v>3</v>
      </c>
      <c r="BD109" s="1" t="s">
        <v>11</v>
      </c>
      <c r="BE109" s="1" t="s">
        <v>11</v>
      </c>
      <c r="BF109" s="1" t="s">
        <v>12</v>
      </c>
      <c r="BG109" s="1" t="s">
        <v>3</v>
      </c>
      <c r="BH109" s="1" t="s">
        <v>12</v>
      </c>
      <c r="BI109" s="1" t="s">
        <v>11</v>
      </c>
      <c r="BJ109" s="1" t="s">
        <v>3</v>
      </c>
      <c r="BK109" s="1" t="s">
        <v>3</v>
      </c>
      <c r="BL109" s="1" t="s">
        <v>3</v>
      </c>
      <c r="BM109" s="1" t="s">
        <v>3</v>
      </c>
      <c r="BN109" s="1" t="s">
        <v>11</v>
      </c>
      <c r="BO109" s="1" t="s">
        <v>3</v>
      </c>
      <c r="BP109" s="1" t="s">
        <v>3</v>
      </c>
      <c r="BQ109" s="1"/>
      <c r="BR109" s="1"/>
      <c r="BS109" s="1"/>
      <c r="BT109" s="1"/>
      <c r="BU109" s="1"/>
      <c r="BV109" s="1"/>
      <c r="BW109" s="1"/>
      <c r="BX109" s="1">
        <v>0</v>
      </c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>
        <v>0</v>
      </c>
    </row>
    <row r="111" spans="1:206" x14ac:dyDescent="0.2">
      <c r="A111" s="2">
        <v>52</v>
      </c>
      <c r="B111" s="2">
        <f t="shared" ref="B111:G111" si="76">B129</f>
        <v>1</v>
      </c>
      <c r="C111" s="2">
        <f t="shared" si="76"/>
        <v>5</v>
      </c>
      <c r="D111" s="2">
        <f t="shared" si="76"/>
        <v>109</v>
      </c>
      <c r="E111" s="2">
        <f t="shared" si="76"/>
        <v>0</v>
      </c>
      <c r="F111" s="2" t="str">
        <f t="shared" si="76"/>
        <v>Новый подраздел</v>
      </c>
      <c r="G111" s="2" t="str">
        <f t="shared" si="76"/>
        <v>Асфальт S=2881,3м2</v>
      </c>
      <c r="H111" s="2"/>
      <c r="I111" s="2"/>
      <c r="J111" s="2"/>
      <c r="K111" s="2"/>
      <c r="L111" s="2"/>
      <c r="M111" s="2"/>
      <c r="N111" s="2"/>
      <c r="O111" s="2">
        <f t="shared" ref="O111:AT111" si="77">O129</f>
        <v>342354</v>
      </c>
      <c r="P111" s="2">
        <f t="shared" si="77"/>
        <v>314008</v>
      </c>
      <c r="Q111" s="2">
        <f t="shared" si="77"/>
        <v>25968</v>
      </c>
      <c r="R111" s="2">
        <f t="shared" si="77"/>
        <v>2588</v>
      </c>
      <c r="S111" s="2">
        <f t="shared" si="77"/>
        <v>2378</v>
      </c>
      <c r="T111" s="2">
        <f t="shared" si="77"/>
        <v>0</v>
      </c>
      <c r="U111" s="2">
        <f t="shared" si="77"/>
        <v>312.87216480000001</v>
      </c>
      <c r="V111" s="2">
        <f t="shared" si="77"/>
        <v>193.30776000000003</v>
      </c>
      <c r="W111" s="2">
        <f t="shared" si="77"/>
        <v>0</v>
      </c>
      <c r="X111" s="2">
        <f t="shared" si="77"/>
        <v>7050</v>
      </c>
      <c r="Y111" s="2">
        <f t="shared" si="77"/>
        <v>4022</v>
      </c>
      <c r="Z111" s="2">
        <f t="shared" si="77"/>
        <v>0</v>
      </c>
      <c r="AA111" s="2">
        <f t="shared" si="77"/>
        <v>0</v>
      </c>
      <c r="AB111" s="2">
        <f t="shared" si="77"/>
        <v>342354</v>
      </c>
      <c r="AC111" s="2">
        <f t="shared" si="77"/>
        <v>314008</v>
      </c>
      <c r="AD111" s="2">
        <f t="shared" si="77"/>
        <v>25968</v>
      </c>
      <c r="AE111" s="2">
        <f t="shared" si="77"/>
        <v>2588</v>
      </c>
      <c r="AF111" s="2">
        <f t="shared" si="77"/>
        <v>2378</v>
      </c>
      <c r="AG111" s="2">
        <f t="shared" si="77"/>
        <v>0</v>
      </c>
      <c r="AH111" s="2">
        <f t="shared" si="77"/>
        <v>312.87216480000001</v>
      </c>
      <c r="AI111" s="2">
        <f t="shared" si="77"/>
        <v>193.30776000000003</v>
      </c>
      <c r="AJ111" s="2">
        <f t="shared" si="77"/>
        <v>0</v>
      </c>
      <c r="AK111" s="2">
        <f t="shared" si="77"/>
        <v>7050</v>
      </c>
      <c r="AL111" s="2">
        <f t="shared" si="77"/>
        <v>4022</v>
      </c>
      <c r="AM111" s="2">
        <f t="shared" si="77"/>
        <v>0</v>
      </c>
      <c r="AN111" s="2">
        <f t="shared" si="77"/>
        <v>0</v>
      </c>
      <c r="AO111" s="2">
        <f t="shared" si="77"/>
        <v>0</v>
      </c>
      <c r="AP111" s="2">
        <f t="shared" si="77"/>
        <v>0</v>
      </c>
      <c r="AQ111" s="2">
        <f t="shared" si="77"/>
        <v>0</v>
      </c>
      <c r="AR111" s="2">
        <f t="shared" si="77"/>
        <v>353426</v>
      </c>
      <c r="AS111" s="2">
        <f t="shared" si="77"/>
        <v>353426</v>
      </c>
      <c r="AT111" s="2">
        <f t="shared" si="77"/>
        <v>0</v>
      </c>
      <c r="AU111" s="2">
        <f t="shared" ref="AU111:BZ111" si="78">AU129</f>
        <v>0</v>
      </c>
      <c r="AV111" s="2">
        <f t="shared" si="78"/>
        <v>314008</v>
      </c>
      <c r="AW111" s="2">
        <f t="shared" si="78"/>
        <v>314008</v>
      </c>
      <c r="AX111" s="2">
        <f t="shared" si="78"/>
        <v>0</v>
      </c>
      <c r="AY111" s="2">
        <f t="shared" si="78"/>
        <v>314008</v>
      </c>
      <c r="AZ111" s="2">
        <f t="shared" si="78"/>
        <v>0</v>
      </c>
      <c r="BA111" s="2">
        <f t="shared" si="78"/>
        <v>0</v>
      </c>
      <c r="BB111" s="2">
        <f t="shared" si="78"/>
        <v>0</v>
      </c>
      <c r="BC111" s="2">
        <f t="shared" si="78"/>
        <v>0</v>
      </c>
      <c r="BD111" s="2">
        <f t="shared" si="78"/>
        <v>0</v>
      </c>
      <c r="BE111" s="2">
        <f t="shared" si="78"/>
        <v>0</v>
      </c>
      <c r="BF111" s="2">
        <f t="shared" si="78"/>
        <v>0</v>
      </c>
      <c r="BG111" s="2">
        <f t="shared" si="78"/>
        <v>0</v>
      </c>
      <c r="BH111" s="2">
        <f t="shared" si="78"/>
        <v>0</v>
      </c>
      <c r="BI111" s="2">
        <f t="shared" si="78"/>
        <v>0</v>
      </c>
      <c r="BJ111" s="2">
        <f t="shared" si="78"/>
        <v>0</v>
      </c>
      <c r="BK111" s="2">
        <f t="shared" si="78"/>
        <v>0</v>
      </c>
      <c r="BL111" s="2">
        <f t="shared" si="78"/>
        <v>0</v>
      </c>
      <c r="BM111" s="2">
        <f t="shared" si="78"/>
        <v>0</v>
      </c>
      <c r="BN111" s="2">
        <f t="shared" si="78"/>
        <v>0</v>
      </c>
      <c r="BO111" s="2">
        <f t="shared" si="78"/>
        <v>0</v>
      </c>
      <c r="BP111" s="2">
        <f t="shared" si="78"/>
        <v>0</v>
      </c>
      <c r="BQ111" s="2">
        <f t="shared" si="78"/>
        <v>0</v>
      </c>
      <c r="BR111" s="2">
        <f t="shared" si="78"/>
        <v>0</v>
      </c>
      <c r="BS111" s="2">
        <f t="shared" si="78"/>
        <v>0</v>
      </c>
      <c r="BT111" s="2">
        <f t="shared" si="78"/>
        <v>0</v>
      </c>
      <c r="BU111" s="2">
        <f t="shared" si="78"/>
        <v>0</v>
      </c>
      <c r="BV111" s="2">
        <f t="shared" si="78"/>
        <v>0</v>
      </c>
      <c r="BW111" s="2">
        <f t="shared" si="78"/>
        <v>0</v>
      </c>
      <c r="BX111" s="2">
        <f t="shared" si="78"/>
        <v>0</v>
      </c>
      <c r="BY111" s="2">
        <f t="shared" si="78"/>
        <v>0</v>
      </c>
      <c r="BZ111" s="2">
        <f t="shared" si="78"/>
        <v>0</v>
      </c>
      <c r="CA111" s="2">
        <f t="shared" ref="CA111:DF111" si="79">CA129</f>
        <v>353426</v>
      </c>
      <c r="CB111" s="2">
        <f t="shared" si="79"/>
        <v>353426</v>
      </c>
      <c r="CC111" s="2">
        <f t="shared" si="79"/>
        <v>0</v>
      </c>
      <c r="CD111" s="2">
        <f t="shared" si="79"/>
        <v>0</v>
      </c>
      <c r="CE111" s="2">
        <f t="shared" si="79"/>
        <v>314008</v>
      </c>
      <c r="CF111" s="2">
        <f t="shared" si="79"/>
        <v>314008</v>
      </c>
      <c r="CG111" s="2">
        <f t="shared" si="79"/>
        <v>0</v>
      </c>
      <c r="CH111" s="2">
        <f t="shared" si="79"/>
        <v>314008</v>
      </c>
      <c r="CI111" s="2">
        <f t="shared" si="79"/>
        <v>0</v>
      </c>
      <c r="CJ111" s="2">
        <f t="shared" si="79"/>
        <v>0</v>
      </c>
      <c r="CK111" s="2">
        <f t="shared" si="79"/>
        <v>0</v>
      </c>
      <c r="CL111" s="2">
        <f t="shared" si="79"/>
        <v>0</v>
      </c>
      <c r="CM111" s="2">
        <f t="shared" si="79"/>
        <v>0</v>
      </c>
      <c r="CN111" s="2">
        <f t="shared" si="79"/>
        <v>0</v>
      </c>
      <c r="CO111" s="2">
        <f t="shared" si="79"/>
        <v>0</v>
      </c>
      <c r="CP111" s="2">
        <f t="shared" si="79"/>
        <v>0</v>
      </c>
      <c r="CQ111" s="2">
        <f t="shared" si="79"/>
        <v>0</v>
      </c>
      <c r="CR111" s="2">
        <f t="shared" si="79"/>
        <v>0</v>
      </c>
      <c r="CS111" s="2">
        <f t="shared" si="79"/>
        <v>0</v>
      </c>
      <c r="CT111" s="2">
        <f t="shared" si="79"/>
        <v>0</v>
      </c>
      <c r="CU111" s="2">
        <f t="shared" si="79"/>
        <v>0</v>
      </c>
      <c r="CV111" s="2">
        <f t="shared" si="79"/>
        <v>0</v>
      </c>
      <c r="CW111" s="2">
        <f t="shared" si="79"/>
        <v>0</v>
      </c>
      <c r="CX111" s="2">
        <f t="shared" si="79"/>
        <v>0</v>
      </c>
      <c r="CY111" s="2">
        <f t="shared" si="79"/>
        <v>0</v>
      </c>
      <c r="CZ111" s="2">
        <f t="shared" si="79"/>
        <v>0</v>
      </c>
      <c r="DA111" s="2">
        <f t="shared" si="79"/>
        <v>0</v>
      </c>
      <c r="DB111" s="2">
        <f t="shared" si="79"/>
        <v>0</v>
      </c>
      <c r="DC111" s="2">
        <f t="shared" si="79"/>
        <v>0</v>
      </c>
      <c r="DD111" s="2">
        <f t="shared" si="79"/>
        <v>0</v>
      </c>
      <c r="DE111" s="2">
        <f t="shared" si="79"/>
        <v>0</v>
      </c>
      <c r="DF111" s="2">
        <f t="shared" si="79"/>
        <v>0</v>
      </c>
      <c r="DG111" s="3">
        <f t="shared" ref="DG111:EL111" si="80">DG129</f>
        <v>0</v>
      </c>
      <c r="DH111" s="3">
        <f t="shared" si="80"/>
        <v>0</v>
      </c>
      <c r="DI111" s="3">
        <f t="shared" si="80"/>
        <v>0</v>
      </c>
      <c r="DJ111" s="3">
        <f t="shared" si="80"/>
        <v>0</v>
      </c>
      <c r="DK111" s="3">
        <f t="shared" si="80"/>
        <v>0</v>
      </c>
      <c r="DL111" s="3">
        <f t="shared" si="80"/>
        <v>0</v>
      </c>
      <c r="DM111" s="3">
        <f t="shared" si="80"/>
        <v>0</v>
      </c>
      <c r="DN111" s="3">
        <f t="shared" si="80"/>
        <v>0</v>
      </c>
      <c r="DO111" s="3">
        <f t="shared" si="80"/>
        <v>0</v>
      </c>
      <c r="DP111" s="3">
        <f t="shared" si="80"/>
        <v>0</v>
      </c>
      <c r="DQ111" s="3">
        <f t="shared" si="80"/>
        <v>0</v>
      </c>
      <c r="DR111" s="3">
        <f t="shared" si="80"/>
        <v>0</v>
      </c>
      <c r="DS111" s="3">
        <f t="shared" si="80"/>
        <v>0</v>
      </c>
      <c r="DT111" s="3">
        <f t="shared" si="80"/>
        <v>0</v>
      </c>
      <c r="DU111" s="3">
        <f t="shared" si="80"/>
        <v>0</v>
      </c>
      <c r="DV111" s="3">
        <f t="shared" si="80"/>
        <v>0</v>
      </c>
      <c r="DW111" s="3">
        <f t="shared" si="80"/>
        <v>0</v>
      </c>
      <c r="DX111" s="3">
        <f t="shared" si="80"/>
        <v>0</v>
      </c>
      <c r="DY111" s="3">
        <f t="shared" si="80"/>
        <v>0</v>
      </c>
      <c r="DZ111" s="3">
        <f t="shared" si="80"/>
        <v>0</v>
      </c>
      <c r="EA111" s="3">
        <f t="shared" si="80"/>
        <v>0</v>
      </c>
      <c r="EB111" s="3">
        <f t="shared" si="80"/>
        <v>0</v>
      </c>
      <c r="EC111" s="3">
        <f t="shared" si="80"/>
        <v>0</v>
      </c>
      <c r="ED111" s="3">
        <f t="shared" si="80"/>
        <v>0</v>
      </c>
      <c r="EE111" s="3">
        <f t="shared" si="80"/>
        <v>0</v>
      </c>
      <c r="EF111" s="3">
        <f t="shared" si="80"/>
        <v>0</v>
      </c>
      <c r="EG111" s="3">
        <f t="shared" si="80"/>
        <v>0</v>
      </c>
      <c r="EH111" s="3">
        <f t="shared" si="80"/>
        <v>0</v>
      </c>
      <c r="EI111" s="3">
        <f t="shared" si="80"/>
        <v>0</v>
      </c>
      <c r="EJ111" s="3">
        <f t="shared" si="80"/>
        <v>0</v>
      </c>
      <c r="EK111" s="3">
        <f t="shared" si="80"/>
        <v>0</v>
      </c>
      <c r="EL111" s="3">
        <f t="shared" si="80"/>
        <v>0</v>
      </c>
      <c r="EM111" s="3">
        <f t="shared" ref="EM111:FR111" si="81">EM129</f>
        <v>0</v>
      </c>
      <c r="EN111" s="3">
        <f t="shared" si="81"/>
        <v>0</v>
      </c>
      <c r="EO111" s="3">
        <f t="shared" si="81"/>
        <v>0</v>
      </c>
      <c r="EP111" s="3">
        <f t="shared" si="81"/>
        <v>0</v>
      </c>
      <c r="EQ111" s="3">
        <f t="shared" si="81"/>
        <v>0</v>
      </c>
      <c r="ER111" s="3">
        <f t="shared" si="81"/>
        <v>0</v>
      </c>
      <c r="ES111" s="3">
        <f t="shared" si="81"/>
        <v>0</v>
      </c>
      <c r="ET111" s="3">
        <f t="shared" si="81"/>
        <v>0</v>
      </c>
      <c r="EU111" s="3">
        <f t="shared" si="81"/>
        <v>0</v>
      </c>
      <c r="EV111" s="3">
        <f t="shared" si="81"/>
        <v>0</v>
      </c>
      <c r="EW111" s="3">
        <f t="shared" si="81"/>
        <v>0</v>
      </c>
      <c r="EX111" s="3">
        <f t="shared" si="81"/>
        <v>0</v>
      </c>
      <c r="EY111" s="3">
        <f t="shared" si="81"/>
        <v>0</v>
      </c>
      <c r="EZ111" s="3">
        <f t="shared" si="81"/>
        <v>0</v>
      </c>
      <c r="FA111" s="3">
        <f t="shared" si="81"/>
        <v>0</v>
      </c>
      <c r="FB111" s="3">
        <f t="shared" si="81"/>
        <v>0</v>
      </c>
      <c r="FC111" s="3">
        <f t="shared" si="81"/>
        <v>0</v>
      </c>
      <c r="FD111" s="3">
        <f t="shared" si="81"/>
        <v>0</v>
      </c>
      <c r="FE111" s="3">
        <f t="shared" si="81"/>
        <v>0</v>
      </c>
      <c r="FF111" s="3">
        <f t="shared" si="81"/>
        <v>0</v>
      </c>
      <c r="FG111" s="3">
        <f t="shared" si="81"/>
        <v>0</v>
      </c>
      <c r="FH111" s="3">
        <f t="shared" si="81"/>
        <v>0</v>
      </c>
      <c r="FI111" s="3">
        <f t="shared" si="81"/>
        <v>0</v>
      </c>
      <c r="FJ111" s="3">
        <f t="shared" si="81"/>
        <v>0</v>
      </c>
      <c r="FK111" s="3">
        <f t="shared" si="81"/>
        <v>0</v>
      </c>
      <c r="FL111" s="3">
        <f t="shared" si="81"/>
        <v>0</v>
      </c>
      <c r="FM111" s="3">
        <f t="shared" si="81"/>
        <v>0</v>
      </c>
      <c r="FN111" s="3">
        <f t="shared" si="81"/>
        <v>0</v>
      </c>
      <c r="FO111" s="3">
        <f t="shared" si="81"/>
        <v>0</v>
      </c>
      <c r="FP111" s="3">
        <f t="shared" si="81"/>
        <v>0</v>
      </c>
      <c r="FQ111" s="3">
        <f t="shared" si="81"/>
        <v>0</v>
      </c>
      <c r="FR111" s="3">
        <f t="shared" si="81"/>
        <v>0</v>
      </c>
      <c r="FS111" s="3">
        <f t="shared" ref="FS111:GX111" si="82">FS129</f>
        <v>0</v>
      </c>
      <c r="FT111" s="3">
        <f t="shared" si="82"/>
        <v>0</v>
      </c>
      <c r="FU111" s="3">
        <f t="shared" si="82"/>
        <v>0</v>
      </c>
      <c r="FV111" s="3">
        <f t="shared" si="82"/>
        <v>0</v>
      </c>
      <c r="FW111" s="3">
        <f t="shared" si="82"/>
        <v>0</v>
      </c>
      <c r="FX111" s="3">
        <f t="shared" si="82"/>
        <v>0</v>
      </c>
      <c r="FY111" s="3">
        <f t="shared" si="82"/>
        <v>0</v>
      </c>
      <c r="FZ111" s="3">
        <f t="shared" si="82"/>
        <v>0</v>
      </c>
      <c r="GA111" s="3">
        <f t="shared" si="82"/>
        <v>0</v>
      </c>
      <c r="GB111" s="3">
        <f t="shared" si="82"/>
        <v>0</v>
      </c>
      <c r="GC111" s="3">
        <f t="shared" si="82"/>
        <v>0</v>
      </c>
      <c r="GD111" s="3">
        <f t="shared" si="82"/>
        <v>0</v>
      </c>
      <c r="GE111" s="3">
        <f t="shared" si="82"/>
        <v>0</v>
      </c>
      <c r="GF111" s="3">
        <f t="shared" si="82"/>
        <v>0</v>
      </c>
      <c r="GG111" s="3">
        <f t="shared" si="82"/>
        <v>0</v>
      </c>
      <c r="GH111" s="3">
        <f t="shared" si="82"/>
        <v>0</v>
      </c>
      <c r="GI111" s="3">
        <f t="shared" si="82"/>
        <v>0</v>
      </c>
      <c r="GJ111" s="3">
        <f t="shared" si="82"/>
        <v>0</v>
      </c>
      <c r="GK111" s="3">
        <f t="shared" si="82"/>
        <v>0</v>
      </c>
      <c r="GL111" s="3">
        <f t="shared" si="82"/>
        <v>0</v>
      </c>
      <c r="GM111" s="3">
        <f t="shared" si="82"/>
        <v>0</v>
      </c>
      <c r="GN111" s="3">
        <f t="shared" si="82"/>
        <v>0</v>
      </c>
      <c r="GO111" s="3">
        <f t="shared" si="82"/>
        <v>0</v>
      </c>
      <c r="GP111" s="3">
        <f t="shared" si="82"/>
        <v>0</v>
      </c>
      <c r="GQ111" s="3">
        <f t="shared" si="82"/>
        <v>0</v>
      </c>
      <c r="GR111" s="3">
        <f t="shared" si="82"/>
        <v>0</v>
      </c>
      <c r="GS111" s="3">
        <f t="shared" si="82"/>
        <v>0</v>
      </c>
      <c r="GT111" s="3">
        <f t="shared" si="82"/>
        <v>0</v>
      </c>
      <c r="GU111" s="3">
        <f t="shared" si="82"/>
        <v>0</v>
      </c>
      <c r="GV111" s="3">
        <f t="shared" si="82"/>
        <v>0</v>
      </c>
      <c r="GW111" s="3">
        <f t="shared" si="82"/>
        <v>0</v>
      </c>
      <c r="GX111" s="3">
        <f t="shared" si="82"/>
        <v>0</v>
      </c>
    </row>
    <row r="113" spans="1:245" x14ac:dyDescent="0.2">
      <c r="A113">
        <v>17</v>
      </c>
      <c r="B113">
        <v>1</v>
      </c>
      <c r="C113">
        <f>ROW(SmtRes!A30)</f>
        <v>30</v>
      </c>
      <c r="D113">
        <f>ROW(EtalonRes!A30)</f>
        <v>30</v>
      </c>
      <c r="E113" t="s">
        <v>145</v>
      </c>
      <c r="F113" t="s">
        <v>146</v>
      </c>
      <c r="G113" t="s">
        <v>147</v>
      </c>
      <c r="H113" t="s">
        <v>148</v>
      </c>
      <c r="I113">
        <f>ROUND((540.6*0.1)/100,4)</f>
        <v>0.54059999999999997</v>
      </c>
      <c r="J113">
        <v>0</v>
      </c>
      <c r="O113">
        <f t="shared" ref="O113:O127" si="83">ROUND(CP113,0)</f>
        <v>1517</v>
      </c>
      <c r="P113">
        <f t="shared" ref="P113:P127" si="84">ROUND(CQ113*I113,0)</f>
        <v>6</v>
      </c>
      <c r="Q113">
        <f t="shared" ref="Q113:Q127" si="85">ROUND(CR113*I113,0)</f>
        <v>1447</v>
      </c>
      <c r="R113">
        <f t="shared" ref="R113:R127" si="86">ROUND(CS113*I113,0)</f>
        <v>118</v>
      </c>
      <c r="S113">
        <f t="shared" ref="S113:S127" si="87">ROUND(CT113*I113,0)</f>
        <v>64</v>
      </c>
      <c r="T113">
        <f t="shared" ref="T113:T127" si="88">ROUND(CU113*I113,0)</f>
        <v>0</v>
      </c>
      <c r="U113">
        <f t="shared" ref="U113:U127" si="89">CV113*I113</f>
        <v>9.772966799999999</v>
      </c>
      <c r="V113">
        <f t="shared" ref="V113:V127" si="90">CW113*I113</f>
        <v>9.37941</v>
      </c>
      <c r="W113">
        <f t="shared" ref="W113:W127" si="91">ROUND(CX113*I113,0)</f>
        <v>0</v>
      </c>
      <c r="X113">
        <f t="shared" ref="X113:X127" si="92">ROUND(CY113,0)</f>
        <v>258</v>
      </c>
      <c r="Y113">
        <f t="shared" ref="Y113:Y127" si="93">ROUND(CZ113,0)</f>
        <v>147</v>
      </c>
      <c r="AA113">
        <v>50210945</v>
      </c>
      <c r="AB113">
        <f t="shared" ref="AB113:AB127" si="94">ROUND((AC113+AD113+AF113),1)</f>
        <v>2805</v>
      </c>
      <c r="AC113">
        <f t="shared" ref="AC113:AC119" si="95">ROUND((ES113),1)</f>
        <v>11.3</v>
      </c>
      <c r="AD113">
        <f>ROUND(((((ET113*1.25))-((EU113*1.25)))+AE113),1)</f>
        <v>2675.8</v>
      </c>
      <c r="AE113">
        <f>ROUND(((EU113*1.25)),1)</f>
        <v>217.9</v>
      </c>
      <c r="AF113">
        <f>ROUND(((EV113*1.15)),1)</f>
        <v>117.9</v>
      </c>
      <c r="AG113">
        <f t="shared" ref="AG113:AG127" si="96">ROUND((AP113),1)</f>
        <v>0</v>
      </c>
      <c r="AH113">
        <f>((EW113*1.15))</f>
        <v>18.077999999999999</v>
      </c>
      <c r="AI113">
        <f>((EX113*1.25))</f>
        <v>17.350000000000001</v>
      </c>
      <c r="AJ113">
        <f t="shared" ref="AJ113:AJ127" si="97">(AS113)</f>
        <v>0</v>
      </c>
      <c r="AK113">
        <v>2254.4699999999998</v>
      </c>
      <c r="AL113">
        <v>11.3</v>
      </c>
      <c r="AM113">
        <v>2140.6799999999998</v>
      </c>
      <c r="AN113">
        <v>174.33</v>
      </c>
      <c r="AO113">
        <v>102.49</v>
      </c>
      <c r="AP113">
        <v>0</v>
      </c>
      <c r="AQ113">
        <v>15.72</v>
      </c>
      <c r="AR113">
        <v>13.88</v>
      </c>
      <c r="AS113">
        <v>0</v>
      </c>
      <c r="AT113">
        <v>142</v>
      </c>
      <c r="AU113">
        <v>81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1</v>
      </c>
      <c r="BJ113" t="s">
        <v>149</v>
      </c>
      <c r="BM113">
        <v>27001</v>
      </c>
      <c r="BN113">
        <v>0</v>
      </c>
      <c r="BO113" t="s">
        <v>3</v>
      </c>
      <c r="BP113">
        <v>0</v>
      </c>
      <c r="BQ113">
        <v>2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142</v>
      </c>
      <c r="CA113">
        <v>95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ref="CP113:CP127" si="98">(P113+Q113+S113)</f>
        <v>1517</v>
      </c>
      <c r="CQ113">
        <f t="shared" ref="CQ113:CQ127" si="99">AC113*BC113</f>
        <v>11.3</v>
      </c>
      <c r="CR113">
        <f t="shared" ref="CR113:CR127" si="100">AD113*BB113</f>
        <v>2675.8</v>
      </c>
      <c r="CS113">
        <f t="shared" ref="CS113:CS127" si="101">AE113*BS113</f>
        <v>217.9</v>
      </c>
      <c r="CT113">
        <f t="shared" ref="CT113:CT127" si="102">AF113*BA113</f>
        <v>117.9</v>
      </c>
      <c r="CU113">
        <f t="shared" ref="CU113:CU127" si="103">AG113</f>
        <v>0</v>
      </c>
      <c r="CV113">
        <f t="shared" ref="CV113:CV127" si="104">AH113</f>
        <v>18.077999999999999</v>
      </c>
      <c r="CW113">
        <f t="shared" ref="CW113:CW127" si="105">AI113</f>
        <v>17.350000000000001</v>
      </c>
      <c r="CX113">
        <f t="shared" ref="CX113:CX127" si="106">AJ113</f>
        <v>0</v>
      </c>
      <c r="CY113">
        <f t="shared" ref="CY113:CY127" si="107">(((S113+R113)*AT113)/100)</f>
        <v>258.44</v>
      </c>
      <c r="CZ113">
        <f t="shared" ref="CZ113:CZ127" si="108">(((S113+R113)*AU113)/100)</f>
        <v>147.41999999999999</v>
      </c>
      <c r="DC113" t="s">
        <v>3</v>
      </c>
      <c r="DD113" t="s">
        <v>3</v>
      </c>
      <c r="DE113" t="s">
        <v>11</v>
      </c>
      <c r="DF113" t="s">
        <v>11</v>
      </c>
      <c r="DG113" t="s">
        <v>12</v>
      </c>
      <c r="DH113" t="s">
        <v>3</v>
      </c>
      <c r="DI113" t="s">
        <v>12</v>
      </c>
      <c r="DJ113" t="s">
        <v>11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148</v>
      </c>
      <c r="DW113" t="s">
        <v>148</v>
      </c>
      <c r="DX113">
        <v>1</v>
      </c>
      <c r="EE113">
        <v>48752256</v>
      </c>
      <c r="EF113">
        <v>2</v>
      </c>
      <c r="EG113" t="s">
        <v>30</v>
      </c>
      <c r="EH113">
        <v>0</v>
      </c>
      <c r="EI113" t="s">
        <v>3</v>
      </c>
      <c r="EJ113">
        <v>1</v>
      </c>
      <c r="EK113">
        <v>27001</v>
      </c>
      <c r="EL113" t="s">
        <v>73</v>
      </c>
      <c r="EM113" t="s">
        <v>74</v>
      </c>
      <c r="EO113" t="s">
        <v>3</v>
      </c>
      <c r="EQ113">
        <v>131072</v>
      </c>
      <c r="ER113">
        <v>2254.4699999999998</v>
      </c>
      <c r="ES113">
        <v>11.3</v>
      </c>
      <c r="ET113">
        <v>2140.6799999999998</v>
      </c>
      <c r="EU113">
        <v>174.33</v>
      </c>
      <c r="EV113">
        <v>102.49</v>
      </c>
      <c r="EW113">
        <v>15.72</v>
      </c>
      <c r="EX113">
        <v>13.88</v>
      </c>
      <c r="EY113">
        <v>0</v>
      </c>
      <c r="FQ113">
        <v>0</v>
      </c>
      <c r="FR113">
        <f t="shared" ref="FR113:FR127" si="109">ROUND(IF(AND(BH113=3,BI113=3),P113,0),0)</f>
        <v>0</v>
      </c>
      <c r="FS113">
        <v>0</v>
      </c>
      <c r="FU113" t="s">
        <v>33</v>
      </c>
      <c r="FX113">
        <v>142</v>
      </c>
      <c r="FY113">
        <v>80.75</v>
      </c>
      <c r="GA113" t="s">
        <v>3</v>
      </c>
      <c r="GD113">
        <v>1</v>
      </c>
      <c r="GF113">
        <v>2010671087</v>
      </c>
      <c r="GG113">
        <v>2</v>
      </c>
      <c r="GH113">
        <v>0</v>
      </c>
      <c r="GI113">
        <v>0</v>
      </c>
      <c r="GJ113">
        <v>0</v>
      </c>
      <c r="GK113">
        <v>0</v>
      </c>
      <c r="GL113">
        <f t="shared" ref="GL113:GL127" si="110">ROUND(IF(AND(BH113=3,BI113=3,FS113&lt;&gt;0),P113,0),0)</f>
        <v>0</v>
      </c>
      <c r="GM113">
        <f t="shared" ref="GM113:GM127" si="111">ROUND(O113+X113+Y113,0)+GX113</f>
        <v>1922</v>
      </c>
      <c r="GN113">
        <f t="shared" ref="GN113:GN127" si="112">IF(OR(BI113=0,BI113=1),ROUND(O113+X113+Y113,0),0)</f>
        <v>1922</v>
      </c>
      <c r="GO113">
        <f t="shared" ref="GO113:GO127" si="113">IF(BI113=2,ROUND(O113+X113+Y113,0),0)</f>
        <v>0</v>
      </c>
      <c r="GP113">
        <f t="shared" ref="GP113:GP127" si="114">IF(BI113=4,ROUND(O113+X113+Y113,0)+GX113,0)</f>
        <v>0</v>
      </c>
      <c r="GR113">
        <v>0</v>
      </c>
      <c r="GS113">
        <v>0</v>
      </c>
      <c r="GT113">
        <v>0</v>
      </c>
      <c r="GU113" t="s">
        <v>3</v>
      </c>
      <c r="GV113">
        <f t="shared" ref="GV113:GV127" si="115">ROUND((GT113),1)</f>
        <v>0</v>
      </c>
      <c r="GW113">
        <v>1</v>
      </c>
      <c r="GX113">
        <f t="shared" ref="GX113:GX127" si="116">ROUND(HC113*I113,0)</f>
        <v>0</v>
      </c>
      <c r="HA113">
        <v>0</v>
      </c>
      <c r="HB113">
        <v>0</v>
      </c>
      <c r="HC113">
        <f t="shared" ref="HC113:HC127" si="117">GV113*GW113</f>
        <v>0</v>
      </c>
      <c r="IK113">
        <v>0</v>
      </c>
    </row>
    <row r="114" spans="1:245" x14ac:dyDescent="0.2">
      <c r="A114">
        <v>18</v>
      </c>
      <c r="B114">
        <v>1</v>
      </c>
      <c r="C114">
        <v>29</v>
      </c>
      <c r="E114" t="s">
        <v>150</v>
      </c>
      <c r="F114" t="s">
        <v>151</v>
      </c>
      <c r="G114" t="s">
        <v>152</v>
      </c>
      <c r="H114" t="s">
        <v>153</v>
      </c>
      <c r="I114">
        <f>I113*J114</f>
        <v>59.466000000000001</v>
      </c>
      <c r="J114">
        <v>110.00000000000001</v>
      </c>
      <c r="O114">
        <f t="shared" si="83"/>
        <v>3045</v>
      </c>
      <c r="P114">
        <f t="shared" si="84"/>
        <v>3045</v>
      </c>
      <c r="Q114">
        <f t="shared" si="85"/>
        <v>0</v>
      </c>
      <c r="R114">
        <f t="shared" si="86"/>
        <v>0</v>
      </c>
      <c r="S114">
        <f t="shared" si="87"/>
        <v>0</v>
      </c>
      <c r="T114">
        <f t="shared" si="88"/>
        <v>0</v>
      </c>
      <c r="U114">
        <f t="shared" si="89"/>
        <v>0</v>
      </c>
      <c r="V114">
        <f t="shared" si="90"/>
        <v>0</v>
      </c>
      <c r="W114">
        <f t="shared" si="91"/>
        <v>0</v>
      </c>
      <c r="X114">
        <f t="shared" si="92"/>
        <v>0</v>
      </c>
      <c r="Y114">
        <f t="shared" si="93"/>
        <v>0</v>
      </c>
      <c r="AA114">
        <v>50210945</v>
      </c>
      <c r="AB114">
        <f t="shared" si="94"/>
        <v>51.2</v>
      </c>
      <c r="AC114">
        <f t="shared" si="95"/>
        <v>51.2</v>
      </c>
      <c r="AD114">
        <f>ROUND((((ET114)-(EU114))+AE114),1)</f>
        <v>0</v>
      </c>
      <c r="AE114">
        <f>ROUND((EU114),1)</f>
        <v>0</v>
      </c>
      <c r="AF114">
        <f>ROUND((EV114),1)</f>
        <v>0</v>
      </c>
      <c r="AG114">
        <f t="shared" si="96"/>
        <v>0</v>
      </c>
      <c r="AH114">
        <f>(EW114)</f>
        <v>0</v>
      </c>
      <c r="AI114">
        <f>(EX114)</f>
        <v>0</v>
      </c>
      <c r="AJ114">
        <f t="shared" si="97"/>
        <v>0</v>
      </c>
      <c r="AK114">
        <v>51.17</v>
      </c>
      <c r="AL114">
        <v>51.17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142</v>
      </c>
      <c r="AU114">
        <v>81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1</v>
      </c>
      <c r="BJ114" t="s">
        <v>154</v>
      </c>
      <c r="BM114">
        <v>27001</v>
      </c>
      <c r="BN114">
        <v>0</v>
      </c>
      <c r="BO114" t="s">
        <v>3</v>
      </c>
      <c r="BP114">
        <v>0</v>
      </c>
      <c r="BQ114">
        <v>2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142</v>
      </c>
      <c r="CA114">
        <v>95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8"/>
        <v>3045</v>
      </c>
      <c r="CQ114">
        <f t="shared" si="99"/>
        <v>51.2</v>
      </c>
      <c r="CR114">
        <f t="shared" si="100"/>
        <v>0</v>
      </c>
      <c r="CS114">
        <f t="shared" si="101"/>
        <v>0</v>
      </c>
      <c r="CT114">
        <f t="shared" si="102"/>
        <v>0</v>
      </c>
      <c r="CU114">
        <f t="shared" si="103"/>
        <v>0</v>
      </c>
      <c r="CV114">
        <f t="shared" si="104"/>
        <v>0</v>
      </c>
      <c r="CW114">
        <f t="shared" si="105"/>
        <v>0</v>
      </c>
      <c r="CX114">
        <f t="shared" si="106"/>
        <v>0</v>
      </c>
      <c r="CY114">
        <f t="shared" si="107"/>
        <v>0</v>
      </c>
      <c r="CZ114">
        <f t="shared" si="108"/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1007</v>
      </c>
      <c r="DV114" t="s">
        <v>153</v>
      </c>
      <c r="DW114" t="s">
        <v>153</v>
      </c>
      <c r="DX114">
        <v>1</v>
      </c>
      <c r="EE114">
        <v>48752256</v>
      </c>
      <c r="EF114">
        <v>2</v>
      </c>
      <c r="EG114" t="s">
        <v>30</v>
      </c>
      <c r="EH114">
        <v>0</v>
      </c>
      <c r="EI114" t="s">
        <v>3</v>
      </c>
      <c r="EJ114">
        <v>1</v>
      </c>
      <c r="EK114">
        <v>27001</v>
      </c>
      <c r="EL114" t="s">
        <v>73</v>
      </c>
      <c r="EM114" t="s">
        <v>74</v>
      </c>
      <c r="EO114" t="s">
        <v>3</v>
      </c>
      <c r="EQ114">
        <v>0</v>
      </c>
      <c r="ER114">
        <v>51.17</v>
      </c>
      <c r="ES114">
        <v>51.17</v>
      </c>
      <c r="ET114">
        <v>0</v>
      </c>
      <c r="EU114">
        <v>0</v>
      </c>
      <c r="EV114">
        <v>0</v>
      </c>
      <c r="EW114">
        <v>0</v>
      </c>
      <c r="EX114">
        <v>0</v>
      </c>
      <c r="FQ114">
        <v>0</v>
      </c>
      <c r="FR114">
        <f t="shared" si="109"/>
        <v>0</v>
      </c>
      <c r="FS114">
        <v>0</v>
      </c>
      <c r="FU114" t="s">
        <v>33</v>
      </c>
      <c r="FX114">
        <v>142</v>
      </c>
      <c r="FY114">
        <v>80.75</v>
      </c>
      <c r="GA114" t="s">
        <v>3</v>
      </c>
      <c r="GD114">
        <v>1</v>
      </c>
      <c r="GF114">
        <v>-215471597</v>
      </c>
      <c r="GG114">
        <v>2</v>
      </c>
      <c r="GH114">
        <v>0</v>
      </c>
      <c r="GI114">
        <v>0</v>
      </c>
      <c r="GJ114">
        <v>0</v>
      </c>
      <c r="GK114">
        <v>0</v>
      </c>
      <c r="GL114">
        <f t="shared" si="110"/>
        <v>0</v>
      </c>
      <c r="GM114">
        <f t="shared" si="111"/>
        <v>3045</v>
      </c>
      <c r="GN114">
        <f t="shared" si="112"/>
        <v>3045</v>
      </c>
      <c r="GO114">
        <f t="shared" si="113"/>
        <v>0</v>
      </c>
      <c r="GP114">
        <f t="shared" si="114"/>
        <v>0</v>
      </c>
      <c r="GR114">
        <v>0</v>
      </c>
      <c r="GS114">
        <v>0</v>
      </c>
      <c r="GT114">
        <v>0</v>
      </c>
      <c r="GU114" t="s">
        <v>3</v>
      </c>
      <c r="GV114">
        <f t="shared" si="115"/>
        <v>0</v>
      </c>
      <c r="GW114">
        <v>1</v>
      </c>
      <c r="GX114">
        <f t="shared" si="116"/>
        <v>0</v>
      </c>
      <c r="HA114">
        <v>0</v>
      </c>
      <c r="HB114">
        <v>0</v>
      </c>
      <c r="HC114">
        <f t="shared" si="117"/>
        <v>0</v>
      </c>
      <c r="IK114">
        <v>0</v>
      </c>
    </row>
    <row r="115" spans="1:245" x14ac:dyDescent="0.2">
      <c r="A115">
        <v>17</v>
      </c>
      <c r="B115">
        <v>1</v>
      </c>
      <c r="C115">
        <f>ROW(SmtRes!A39)</f>
        <v>39</v>
      </c>
      <c r="D115">
        <f>ROW(EtalonRes!A39)</f>
        <v>39</v>
      </c>
      <c r="E115" t="s">
        <v>155</v>
      </c>
      <c r="F115" t="s">
        <v>156</v>
      </c>
      <c r="G115" t="s">
        <v>157</v>
      </c>
      <c r="H115" t="s">
        <v>148</v>
      </c>
      <c r="I115">
        <f>ROUND((540.6*0.06)/100,4)</f>
        <v>0.32440000000000002</v>
      </c>
      <c r="J115">
        <v>0</v>
      </c>
      <c r="O115">
        <f t="shared" si="83"/>
        <v>1417</v>
      </c>
      <c r="P115">
        <f t="shared" si="84"/>
        <v>5</v>
      </c>
      <c r="Q115">
        <f t="shared" si="85"/>
        <v>1353</v>
      </c>
      <c r="R115">
        <f t="shared" si="86"/>
        <v>111</v>
      </c>
      <c r="S115">
        <f t="shared" si="87"/>
        <v>59</v>
      </c>
      <c r="T115">
        <f t="shared" si="88"/>
        <v>0</v>
      </c>
      <c r="U115">
        <f t="shared" si="89"/>
        <v>9.0243213999999998</v>
      </c>
      <c r="V115">
        <f t="shared" si="90"/>
        <v>8.3533000000000008</v>
      </c>
      <c r="W115">
        <f t="shared" si="91"/>
        <v>0</v>
      </c>
      <c r="X115">
        <f t="shared" si="92"/>
        <v>241</v>
      </c>
      <c r="Y115">
        <f t="shared" si="93"/>
        <v>138</v>
      </c>
      <c r="AA115">
        <v>50210945</v>
      </c>
      <c r="AB115">
        <f t="shared" si="94"/>
        <v>4369.3999999999996</v>
      </c>
      <c r="AC115">
        <f t="shared" si="95"/>
        <v>15.8</v>
      </c>
      <c r="AD115">
        <f>ROUND(((((ET115*1.25))-((EU115*1.25)))+AE115),1)</f>
        <v>4170.6000000000004</v>
      </c>
      <c r="AE115">
        <f>ROUND(((EU115*1.25)),1)</f>
        <v>342</v>
      </c>
      <c r="AF115">
        <f>ROUND(((EV115*1.15)),1)</f>
        <v>183</v>
      </c>
      <c r="AG115">
        <f t="shared" si="96"/>
        <v>0</v>
      </c>
      <c r="AH115">
        <f>((EW115*1.15))</f>
        <v>27.8185</v>
      </c>
      <c r="AI115">
        <f>((EX115*1.25))</f>
        <v>25.75</v>
      </c>
      <c r="AJ115">
        <f t="shared" si="97"/>
        <v>0</v>
      </c>
      <c r="AK115">
        <v>3511.43</v>
      </c>
      <c r="AL115">
        <v>15.82</v>
      </c>
      <c r="AM115">
        <v>3336.44</v>
      </c>
      <c r="AN115">
        <v>273.57</v>
      </c>
      <c r="AO115">
        <v>159.16999999999999</v>
      </c>
      <c r="AP115">
        <v>0</v>
      </c>
      <c r="AQ115">
        <v>24.19</v>
      </c>
      <c r="AR115">
        <v>20.6</v>
      </c>
      <c r="AS115">
        <v>0</v>
      </c>
      <c r="AT115">
        <v>142</v>
      </c>
      <c r="AU115">
        <v>81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158</v>
      </c>
      <c r="BM115">
        <v>27001</v>
      </c>
      <c r="BN115">
        <v>0</v>
      </c>
      <c r="BO115" t="s">
        <v>3</v>
      </c>
      <c r="BP115">
        <v>0</v>
      </c>
      <c r="BQ115">
        <v>2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142</v>
      </c>
      <c r="CA115">
        <v>95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8"/>
        <v>1417</v>
      </c>
      <c r="CQ115">
        <f t="shared" si="99"/>
        <v>15.8</v>
      </c>
      <c r="CR115">
        <f t="shared" si="100"/>
        <v>4170.6000000000004</v>
      </c>
      <c r="CS115">
        <f t="shared" si="101"/>
        <v>342</v>
      </c>
      <c r="CT115">
        <f t="shared" si="102"/>
        <v>183</v>
      </c>
      <c r="CU115">
        <f t="shared" si="103"/>
        <v>0</v>
      </c>
      <c r="CV115">
        <f t="shared" si="104"/>
        <v>27.8185</v>
      </c>
      <c r="CW115">
        <f t="shared" si="105"/>
        <v>25.75</v>
      </c>
      <c r="CX115">
        <f t="shared" si="106"/>
        <v>0</v>
      </c>
      <c r="CY115">
        <f t="shared" si="107"/>
        <v>241.4</v>
      </c>
      <c r="CZ115">
        <f t="shared" si="108"/>
        <v>137.69999999999999</v>
      </c>
      <c r="DC115" t="s">
        <v>3</v>
      </c>
      <c r="DD115" t="s">
        <v>3</v>
      </c>
      <c r="DE115" t="s">
        <v>61</v>
      </c>
      <c r="DF115" t="s">
        <v>61</v>
      </c>
      <c r="DG115" t="s">
        <v>62</v>
      </c>
      <c r="DH115" t="s">
        <v>3</v>
      </c>
      <c r="DI115" t="s">
        <v>62</v>
      </c>
      <c r="DJ115" t="s">
        <v>61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148</v>
      </c>
      <c r="DW115" t="s">
        <v>148</v>
      </c>
      <c r="DX115">
        <v>1</v>
      </c>
      <c r="EE115">
        <v>48752256</v>
      </c>
      <c r="EF115">
        <v>2</v>
      </c>
      <c r="EG115" t="s">
        <v>30</v>
      </c>
      <c r="EH115">
        <v>0</v>
      </c>
      <c r="EI115" t="s">
        <v>3</v>
      </c>
      <c r="EJ115">
        <v>1</v>
      </c>
      <c r="EK115">
        <v>27001</v>
      </c>
      <c r="EL115" t="s">
        <v>73</v>
      </c>
      <c r="EM115" t="s">
        <v>74</v>
      </c>
      <c r="EO115" t="s">
        <v>3</v>
      </c>
      <c r="EQ115">
        <v>131072</v>
      </c>
      <c r="ER115">
        <v>3511.43</v>
      </c>
      <c r="ES115">
        <v>15.82</v>
      </c>
      <c r="ET115">
        <v>3336.44</v>
      </c>
      <c r="EU115">
        <v>273.57</v>
      </c>
      <c r="EV115">
        <v>159.16999999999999</v>
      </c>
      <c r="EW115">
        <v>24.19</v>
      </c>
      <c r="EX115">
        <v>20.6</v>
      </c>
      <c r="EY115">
        <v>0</v>
      </c>
      <c r="FQ115">
        <v>0</v>
      </c>
      <c r="FR115">
        <f t="shared" si="109"/>
        <v>0</v>
      </c>
      <c r="FS115">
        <v>0</v>
      </c>
      <c r="FU115" t="s">
        <v>33</v>
      </c>
      <c r="FX115">
        <v>142</v>
      </c>
      <c r="FY115">
        <v>80.75</v>
      </c>
      <c r="GA115" t="s">
        <v>3</v>
      </c>
      <c r="GD115">
        <v>1</v>
      </c>
      <c r="GF115">
        <v>-2049045877</v>
      </c>
      <c r="GG115">
        <v>2</v>
      </c>
      <c r="GH115">
        <v>1</v>
      </c>
      <c r="GI115">
        <v>-2</v>
      </c>
      <c r="GJ115">
        <v>0</v>
      </c>
      <c r="GK115">
        <v>0</v>
      </c>
      <c r="GL115">
        <f t="shared" si="110"/>
        <v>0</v>
      </c>
      <c r="GM115">
        <f t="shared" si="111"/>
        <v>1796</v>
      </c>
      <c r="GN115">
        <f t="shared" si="112"/>
        <v>1796</v>
      </c>
      <c r="GO115">
        <f t="shared" si="113"/>
        <v>0</v>
      </c>
      <c r="GP115">
        <f t="shared" si="114"/>
        <v>0</v>
      </c>
      <c r="GR115">
        <v>0</v>
      </c>
      <c r="GS115">
        <v>3</v>
      </c>
      <c r="GT115">
        <v>0</v>
      </c>
      <c r="GU115" t="s">
        <v>3</v>
      </c>
      <c r="GV115">
        <f t="shared" si="115"/>
        <v>0</v>
      </c>
      <c r="GW115">
        <v>1</v>
      </c>
      <c r="GX115">
        <f t="shared" si="116"/>
        <v>0</v>
      </c>
      <c r="HA115">
        <v>0</v>
      </c>
      <c r="HB115">
        <v>0</v>
      </c>
      <c r="HC115">
        <f t="shared" si="117"/>
        <v>0</v>
      </c>
      <c r="IK115">
        <v>0</v>
      </c>
    </row>
    <row r="116" spans="1:245" x14ac:dyDescent="0.2">
      <c r="A116">
        <v>18</v>
      </c>
      <c r="B116">
        <v>1</v>
      </c>
      <c r="C116">
        <v>38</v>
      </c>
      <c r="E116" t="s">
        <v>159</v>
      </c>
      <c r="F116" t="s">
        <v>160</v>
      </c>
      <c r="G116" t="s">
        <v>161</v>
      </c>
      <c r="H116" t="s">
        <v>153</v>
      </c>
      <c r="I116">
        <f>I115*J116</f>
        <v>40.874400000000001</v>
      </c>
      <c r="J116">
        <v>126</v>
      </c>
      <c r="O116">
        <f t="shared" si="83"/>
        <v>5199</v>
      </c>
      <c r="P116">
        <f t="shared" si="84"/>
        <v>5199</v>
      </c>
      <c r="Q116">
        <f t="shared" si="85"/>
        <v>0</v>
      </c>
      <c r="R116">
        <f t="shared" si="86"/>
        <v>0</v>
      </c>
      <c r="S116">
        <f t="shared" si="87"/>
        <v>0</v>
      </c>
      <c r="T116">
        <f t="shared" si="88"/>
        <v>0</v>
      </c>
      <c r="U116">
        <f t="shared" si="89"/>
        <v>0</v>
      </c>
      <c r="V116">
        <f t="shared" si="90"/>
        <v>0</v>
      </c>
      <c r="W116">
        <f t="shared" si="91"/>
        <v>0</v>
      </c>
      <c r="X116">
        <f t="shared" si="92"/>
        <v>0</v>
      </c>
      <c r="Y116">
        <f t="shared" si="93"/>
        <v>0</v>
      </c>
      <c r="AA116">
        <v>50210945</v>
      </c>
      <c r="AB116">
        <f t="shared" si="94"/>
        <v>127.2</v>
      </c>
      <c r="AC116">
        <f t="shared" si="95"/>
        <v>127.2</v>
      </c>
      <c r="AD116">
        <f>ROUND((((ET116)-(EU116))+AE116),1)</f>
        <v>0</v>
      </c>
      <c r="AE116">
        <f>ROUND((EU116),1)</f>
        <v>0</v>
      </c>
      <c r="AF116">
        <f>ROUND((EV116),1)</f>
        <v>0</v>
      </c>
      <c r="AG116">
        <f t="shared" si="96"/>
        <v>0</v>
      </c>
      <c r="AH116">
        <f>(EW116)</f>
        <v>0</v>
      </c>
      <c r="AI116">
        <f>(EX116)</f>
        <v>0</v>
      </c>
      <c r="AJ116">
        <f t="shared" si="97"/>
        <v>0</v>
      </c>
      <c r="AK116">
        <v>127.2</v>
      </c>
      <c r="AL116">
        <v>127.2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142</v>
      </c>
      <c r="AU116">
        <v>81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1</v>
      </c>
      <c r="BJ116" t="s">
        <v>162</v>
      </c>
      <c r="BM116">
        <v>27001</v>
      </c>
      <c r="BN116">
        <v>0</v>
      </c>
      <c r="BO116" t="s">
        <v>3</v>
      </c>
      <c r="BP116">
        <v>0</v>
      </c>
      <c r="BQ116">
        <v>2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142</v>
      </c>
      <c r="CA116">
        <v>95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8"/>
        <v>5199</v>
      </c>
      <c r="CQ116">
        <f t="shared" si="99"/>
        <v>127.2</v>
      </c>
      <c r="CR116">
        <f t="shared" si="100"/>
        <v>0</v>
      </c>
      <c r="CS116">
        <f t="shared" si="101"/>
        <v>0</v>
      </c>
      <c r="CT116">
        <f t="shared" si="102"/>
        <v>0</v>
      </c>
      <c r="CU116">
        <f t="shared" si="103"/>
        <v>0</v>
      </c>
      <c r="CV116">
        <f t="shared" si="104"/>
        <v>0</v>
      </c>
      <c r="CW116">
        <f t="shared" si="105"/>
        <v>0</v>
      </c>
      <c r="CX116">
        <f t="shared" si="106"/>
        <v>0</v>
      </c>
      <c r="CY116">
        <f t="shared" si="107"/>
        <v>0</v>
      </c>
      <c r="CZ116">
        <f t="shared" si="108"/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1007</v>
      </c>
      <c r="DV116" t="s">
        <v>153</v>
      </c>
      <c r="DW116" t="s">
        <v>153</v>
      </c>
      <c r="DX116">
        <v>1</v>
      </c>
      <c r="EE116">
        <v>48752256</v>
      </c>
      <c r="EF116">
        <v>2</v>
      </c>
      <c r="EG116" t="s">
        <v>30</v>
      </c>
      <c r="EH116">
        <v>0</v>
      </c>
      <c r="EI116" t="s">
        <v>3</v>
      </c>
      <c r="EJ116">
        <v>1</v>
      </c>
      <c r="EK116">
        <v>27001</v>
      </c>
      <c r="EL116" t="s">
        <v>73</v>
      </c>
      <c r="EM116" t="s">
        <v>74</v>
      </c>
      <c r="EO116" t="s">
        <v>3</v>
      </c>
      <c r="EQ116">
        <v>0</v>
      </c>
      <c r="ER116">
        <v>127.2</v>
      </c>
      <c r="ES116">
        <v>127.2</v>
      </c>
      <c r="ET116">
        <v>0</v>
      </c>
      <c r="EU116">
        <v>0</v>
      </c>
      <c r="EV116">
        <v>0</v>
      </c>
      <c r="EW116">
        <v>0</v>
      </c>
      <c r="EX116">
        <v>0</v>
      </c>
      <c r="FQ116">
        <v>0</v>
      </c>
      <c r="FR116">
        <f t="shared" si="109"/>
        <v>0</v>
      </c>
      <c r="FS116">
        <v>0</v>
      </c>
      <c r="FU116" t="s">
        <v>33</v>
      </c>
      <c r="FX116">
        <v>142</v>
      </c>
      <c r="FY116">
        <v>80.75</v>
      </c>
      <c r="GA116" t="s">
        <v>3</v>
      </c>
      <c r="GD116">
        <v>1</v>
      </c>
      <c r="GF116">
        <v>1276216311</v>
      </c>
      <c r="GG116">
        <v>2</v>
      </c>
      <c r="GH116">
        <v>1</v>
      </c>
      <c r="GI116">
        <v>-2</v>
      </c>
      <c r="GJ116">
        <v>0</v>
      </c>
      <c r="GK116">
        <v>0</v>
      </c>
      <c r="GL116">
        <f t="shared" si="110"/>
        <v>0</v>
      </c>
      <c r="GM116">
        <f t="shared" si="111"/>
        <v>5199</v>
      </c>
      <c r="GN116">
        <f t="shared" si="112"/>
        <v>5199</v>
      </c>
      <c r="GO116">
        <f t="shared" si="113"/>
        <v>0</v>
      </c>
      <c r="GP116">
        <f t="shared" si="114"/>
        <v>0</v>
      </c>
      <c r="GR116">
        <v>0</v>
      </c>
      <c r="GS116">
        <v>3</v>
      </c>
      <c r="GT116">
        <v>0</v>
      </c>
      <c r="GU116" t="s">
        <v>3</v>
      </c>
      <c r="GV116">
        <f t="shared" si="115"/>
        <v>0</v>
      </c>
      <c r="GW116">
        <v>1</v>
      </c>
      <c r="GX116">
        <f t="shared" si="116"/>
        <v>0</v>
      </c>
      <c r="HA116">
        <v>0</v>
      </c>
      <c r="HB116">
        <v>0</v>
      </c>
      <c r="HC116">
        <f t="shared" si="117"/>
        <v>0</v>
      </c>
      <c r="IK116">
        <v>0</v>
      </c>
    </row>
    <row r="117" spans="1:245" x14ac:dyDescent="0.2">
      <c r="A117">
        <v>17</v>
      </c>
      <c r="B117">
        <v>1</v>
      </c>
      <c r="C117">
        <f>ROW(SmtRes!A47)</f>
        <v>47</v>
      </c>
      <c r="D117">
        <f>ROW(EtalonRes!A48)</f>
        <v>48</v>
      </c>
      <c r="E117" t="s">
        <v>163</v>
      </c>
      <c r="F117" t="s">
        <v>156</v>
      </c>
      <c r="G117" t="s">
        <v>164</v>
      </c>
      <c r="H117" t="s">
        <v>148</v>
      </c>
      <c r="I117">
        <f>ROUND((2340.67*0.06)/100,4)</f>
        <v>1.4044000000000001</v>
      </c>
      <c r="J117">
        <v>0</v>
      </c>
      <c r="O117">
        <f t="shared" si="83"/>
        <v>6136</v>
      </c>
      <c r="P117">
        <f t="shared" si="84"/>
        <v>22</v>
      </c>
      <c r="Q117">
        <f t="shared" si="85"/>
        <v>5857</v>
      </c>
      <c r="R117">
        <f t="shared" si="86"/>
        <v>480</v>
      </c>
      <c r="S117">
        <f t="shared" si="87"/>
        <v>257</v>
      </c>
      <c r="T117">
        <f t="shared" si="88"/>
        <v>0</v>
      </c>
      <c r="U117">
        <f t="shared" si="89"/>
        <v>39.068301400000003</v>
      </c>
      <c r="V117">
        <f t="shared" si="90"/>
        <v>36.1633</v>
      </c>
      <c r="W117">
        <f t="shared" si="91"/>
        <v>0</v>
      </c>
      <c r="X117">
        <f t="shared" si="92"/>
        <v>1047</v>
      </c>
      <c r="Y117">
        <f t="shared" si="93"/>
        <v>597</v>
      </c>
      <c r="AA117">
        <v>50210945</v>
      </c>
      <c r="AB117">
        <f t="shared" si="94"/>
        <v>4369.3999999999996</v>
      </c>
      <c r="AC117">
        <f t="shared" si="95"/>
        <v>15.8</v>
      </c>
      <c r="AD117">
        <f>ROUND(((((ET117*1.25))-((EU117*1.25)))+AE117),1)</f>
        <v>4170.6000000000004</v>
      </c>
      <c r="AE117">
        <f>ROUND(((EU117*1.25)),1)</f>
        <v>342</v>
      </c>
      <c r="AF117">
        <f>ROUND(((EV117*1.15)),1)</f>
        <v>183</v>
      </c>
      <c r="AG117">
        <f t="shared" si="96"/>
        <v>0</v>
      </c>
      <c r="AH117">
        <f>((EW117*1.15))</f>
        <v>27.8185</v>
      </c>
      <c r="AI117">
        <f>((EX117*1.25))</f>
        <v>25.75</v>
      </c>
      <c r="AJ117">
        <f t="shared" si="97"/>
        <v>0</v>
      </c>
      <c r="AK117">
        <v>3511.43</v>
      </c>
      <c r="AL117">
        <v>15.82</v>
      </c>
      <c r="AM117">
        <v>3336.44</v>
      </c>
      <c r="AN117">
        <v>273.57</v>
      </c>
      <c r="AO117">
        <v>159.16999999999999</v>
      </c>
      <c r="AP117">
        <v>0</v>
      </c>
      <c r="AQ117">
        <v>24.19</v>
      </c>
      <c r="AR117">
        <v>20.6</v>
      </c>
      <c r="AS117">
        <v>0</v>
      </c>
      <c r="AT117">
        <v>142</v>
      </c>
      <c r="AU117">
        <v>81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1</v>
      </c>
      <c r="BJ117" t="s">
        <v>158</v>
      </c>
      <c r="BM117">
        <v>27001</v>
      </c>
      <c r="BN117">
        <v>0</v>
      </c>
      <c r="BO117" t="s">
        <v>3</v>
      </c>
      <c r="BP117">
        <v>0</v>
      </c>
      <c r="BQ117">
        <v>2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142</v>
      </c>
      <c r="CA117">
        <v>95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8"/>
        <v>6136</v>
      </c>
      <c r="CQ117">
        <f t="shared" si="99"/>
        <v>15.8</v>
      </c>
      <c r="CR117">
        <f t="shared" si="100"/>
        <v>4170.6000000000004</v>
      </c>
      <c r="CS117">
        <f t="shared" si="101"/>
        <v>342</v>
      </c>
      <c r="CT117">
        <f t="shared" si="102"/>
        <v>183</v>
      </c>
      <c r="CU117">
        <f t="shared" si="103"/>
        <v>0</v>
      </c>
      <c r="CV117">
        <f t="shared" si="104"/>
        <v>27.8185</v>
      </c>
      <c r="CW117">
        <f t="shared" si="105"/>
        <v>25.75</v>
      </c>
      <c r="CX117">
        <f t="shared" si="106"/>
        <v>0</v>
      </c>
      <c r="CY117">
        <f t="shared" si="107"/>
        <v>1046.54</v>
      </c>
      <c r="CZ117">
        <f t="shared" si="108"/>
        <v>596.97</v>
      </c>
      <c r="DC117" t="s">
        <v>3</v>
      </c>
      <c r="DD117" t="s">
        <v>3</v>
      </c>
      <c r="DE117" t="s">
        <v>61</v>
      </c>
      <c r="DF117" t="s">
        <v>61</v>
      </c>
      <c r="DG117" t="s">
        <v>62</v>
      </c>
      <c r="DH117" t="s">
        <v>3</v>
      </c>
      <c r="DI117" t="s">
        <v>62</v>
      </c>
      <c r="DJ117" t="s">
        <v>61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148</v>
      </c>
      <c r="DW117" t="s">
        <v>148</v>
      </c>
      <c r="DX117">
        <v>1</v>
      </c>
      <c r="EE117">
        <v>48752256</v>
      </c>
      <c r="EF117">
        <v>2</v>
      </c>
      <c r="EG117" t="s">
        <v>30</v>
      </c>
      <c r="EH117">
        <v>0</v>
      </c>
      <c r="EI117" t="s">
        <v>3</v>
      </c>
      <c r="EJ117">
        <v>1</v>
      </c>
      <c r="EK117">
        <v>27001</v>
      </c>
      <c r="EL117" t="s">
        <v>73</v>
      </c>
      <c r="EM117" t="s">
        <v>74</v>
      </c>
      <c r="EO117" t="s">
        <v>3</v>
      </c>
      <c r="EQ117">
        <v>131072</v>
      </c>
      <c r="ER117">
        <v>3511.43</v>
      </c>
      <c r="ES117">
        <v>15.82</v>
      </c>
      <c r="ET117">
        <v>3336.44</v>
      </c>
      <c r="EU117">
        <v>273.57</v>
      </c>
      <c r="EV117">
        <v>159.16999999999999</v>
      </c>
      <c r="EW117">
        <v>24.19</v>
      </c>
      <c r="EX117">
        <v>20.6</v>
      </c>
      <c r="EY117">
        <v>0</v>
      </c>
      <c r="FQ117">
        <v>0</v>
      </c>
      <c r="FR117">
        <f t="shared" si="109"/>
        <v>0</v>
      </c>
      <c r="FS117">
        <v>0</v>
      </c>
      <c r="FU117" t="s">
        <v>33</v>
      </c>
      <c r="FX117">
        <v>142</v>
      </c>
      <c r="FY117">
        <v>80.75</v>
      </c>
      <c r="GA117" t="s">
        <v>3</v>
      </c>
      <c r="GD117">
        <v>1</v>
      </c>
      <c r="GF117">
        <v>1356489891</v>
      </c>
      <c r="GG117">
        <v>2</v>
      </c>
      <c r="GH117">
        <v>0</v>
      </c>
      <c r="GI117">
        <v>0</v>
      </c>
      <c r="GJ117">
        <v>0</v>
      </c>
      <c r="GK117">
        <v>0</v>
      </c>
      <c r="GL117">
        <f t="shared" si="110"/>
        <v>0</v>
      </c>
      <c r="GM117">
        <f t="shared" si="111"/>
        <v>7780</v>
      </c>
      <c r="GN117">
        <f t="shared" si="112"/>
        <v>7780</v>
      </c>
      <c r="GO117">
        <f t="shared" si="113"/>
        <v>0</v>
      </c>
      <c r="GP117">
        <f t="shared" si="114"/>
        <v>0</v>
      </c>
      <c r="GR117">
        <v>0</v>
      </c>
      <c r="GS117">
        <v>0</v>
      </c>
      <c r="GT117">
        <v>0</v>
      </c>
      <c r="GU117" t="s">
        <v>3</v>
      </c>
      <c r="GV117">
        <f t="shared" si="115"/>
        <v>0</v>
      </c>
      <c r="GW117">
        <v>1</v>
      </c>
      <c r="GX117">
        <f t="shared" si="116"/>
        <v>0</v>
      </c>
      <c r="HA117">
        <v>0</v>
      </c>
      <c r="HB117">
        <v>0</v>
      </c>
      <c r="HC117">
        <f t="shared" si="117"/>
        <v>0</v>
      </c>
      <c r="IK117">
        <v>0</v>
      </c>
    </row>
    <row r="118" spans="1:245" x14ac:dyDescent="0.2">
      <c r="A118">
        <v>17</v>
      </c>
      <c r="B118">
        <v>1</v>
      </c>
      <c r="C118">
        <f>ROW(SmtRes!A50)</f>
        <v>50</v>
      </c>
      <c r="D118">
        <f>ROW(EtalonRes!A51)</f>
        <v>51</v>
      </c>
      <c r="E118" t="s">
        <v>165</v>
      </c>
      <c r="F118" t="s">
        <v>166</v>
      </c>
      <c r="G118" t="s">
        <v>167</v>
      </c>
      <c r="H118" t="s">
        <v>168</v>
      </c>
      <c r="I118">
        <f>ROUND(I122*1000*0.0005,4)</f>
        <v>1.4407000000000001</v>
      </c>
      <c r="J118">
        <v>0</v>
      </c>
      <c r="O118">
        <f t="shared" si="83"/>
        <v>2185</v>
      </c>
      <c r="P118">
        <f t="shared" si="84"/>
        <v>2114</v>
      </c>
      <c r="Q118">
        <f t="shared" si="85"/>
        <v>71</v>
      </c>
      <c r="R118">
        <f t="shared" si="86"/>
        <v>13</v>
      </c>
      <c r="S118">
        <f t="shared" si="87"/>
        <v>0</v>
      </c>
      <c r="T118">
        <f t="shared" si="88"/>
        <v>0</v>
      </c>
      <c r="U118">
        <f t="shared" si="89"/>
        <v>0</v>
      </c>
      <c r="V118">
        <f t="shared" si="90"/>
        <v>1.1885775000000001</v>
      </c>
      <c r="W118">
        <f t="shared" si="91"/>
        <v>0</v>
      </c>
      <c r="X118">
        <f t="shared" si="92"/>
        <v>18</v>
      </c>
      <c r="Y118">
        <f t="shared" si="93"/>
        <v>11</v>
      </c>
      <c r="AA118">
        <v>50210945</v>
      </c>
      <c r="AB118">
        <f t="shared" si="94"/>
        <v>1516.5</v>
      </c>
      <c r="AC118">
        <f t="shared" si="95"/>
        <v>1467.1</v>
      </c>
      <c r="AD118">
        <f>ROUND(((((ET118*1.25))-((EU118*1.25)))+AE118),1)</f>
        <v>49.4</v>
      </c>
      <c r="AE118">
        <f>ROUND(((EU118*1.25)),1)</f>
        <v>8.8000000000000007</v>
      </c>
      <c r="AF118">
        <f>ROUND(((EV118*1.15)),1)</f>
        <v>0</v>
      </c>
      <c r="AG118">
        <f t="shared" si="96"/>
        <v>0</v>
      </c>
      <c r="AH118">
        <f>((EW118*1.15))</f>
        <v>0</v>
      </c>
      <c r="AI118">
        <f>((EX118*1.25))</f>
        <v>0.82500000000000007</v>
      </c>
      <c r="AJ118">
        <f t="shared" si="97"/>
        <v>0</v>
      </c>
      <c r="AK118">
        <v>1506.54</v>
      </c>
      <c r="AL118">
        <v>1467.08</v>
      </c>
      <c r="AM118">
        <v>39.46</v>
      </c>
      <c r="AN118">
        <v>7.02</v>
      </c>
      <c r="AO118">
        <v>0</v>
      </c>
      <c r="AP118">
        <v>0</v>
      </c>
      <c r="AQ118">
        <v>0</v>
      </c>
      <c r="AR118">
        <v>0.66</v>
      </c>
      <c r="AS118">
        <v>0</v>
      </c>
      <c r="AT118">
        <v>142</v>
      </c>
      <c r="AU118">
        <v>81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1</v>
      </c>
      <c r="BJ118" t="s">
        <v>169</v>
      </c>
      <c r="BM118">
        <v>27001</v>
      </c>
      <c r="BN118">
        <v>0</v>
      </c>
      <c r="BO118" t="s">
        <v>3</v>
      </c>
      <c r="BP118">
        <v>0</v>
      </c>
      <c r="BQ118">
        <v>2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142</v>
      </c>
      <c r="CA118">
        <v>95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8"/>
        <v>2185</v>
      </c>
      <c r="CQ118">
        <f t="shared" si="99"/>
        <v>1467.1</v>
      </c>
      <c r="CR118">
        <f t="shared" si="100"/>
        <v>49.4</v>
      </c>
      <c r="CS118">
        <f t="shared" si="101"/>
        <v>8.8000000000000007</v>
      </c>
      <c r="CT118">
        <f t="shared" si="102"/>
        <v>0</v>
      </c>
      <c r="CU118">
        <f t="shared" si="103"/>
        <v>0</v>
      </c>
      <c r="CV118">
        <f t="shared" si="104"/>
        <v>0</v>
      </c>
      <c r="CW118">
        <f t="shared" si="105"/>
        <v>0.82500000000000007</v>
      </c>
      <c r="CX118">
        <f t="shared" si="106"/>
        <v>0</v>
      </c>
      <c r="CY118">
        <f t="shared" si="107"/>
        <v>18.46</v>
      </c>
      <c r="CZ118">
        <f t="shared" si="108"/>
        <v>10.53</v>
      </c>
      <c r="DC118" t="s">
        <v>3</v>
      </c>
      <c r="DD118" t="s">
        <v>3</v>
      </c>
      <c r="DE118" t="s">
        <v>11</v>
      </c>
      <c r="DF118" t="s">
        <v>11</v>
      </c>
      <c r="DG118" t="s">
        <v>12</v>
      </c>
      <c r="DH118" t="s">
        <v>3</v>
      </c>
      <c r="DI118" t="s">
        <v>12</v>
      </c>
      <c r="DJ118" t="s">
        <v>11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168</v>
      </c>
      <c r="DW118" t="s">
        <v>168</v>
      </c>
      <c r="DX118">
        <v>1</v>
      </c>
      <c r="EE118">
        <v>48752256</v>
      </c>
      <c r="EF118">
        <v>2</v>
      </c>
      <c r="EG118" t="s">
        <v>30</v>
      </c>
      <c r="EH118">
        <v>0</v>
      </c>
      <c r="EI118" t="s">
        <v>3</v>
      </c>
      <c r="EJ118">
        <v>1</v>
      </c>
      <c r="EK118">
        <v>27001</v>
      </c>
      <c r="EL118" t="s">
        <v>73</v>
      </c>
      <c r="EM118" t="s">
        <v>74</v>
      </c>
      <c r="EO118" t="s">
        <v>3</v>
      </c>
      <c r="EQ118">
        <v>131072</v>
      </c>
      <c r="ER118">
        <v>1506.54</v>
      </c>
      <c r="ES118">
        <v>1467.08</v>
      </c>
      <c r="ET118">
        <v>39.46</v>
      </c>
      <c r="EU118">
        <v>7.02</v>
      </c>
      <c r="EV118">
        <v>0</v>
      </c>
      <c r="EW118">
        <v>0</v>
      </c>
      <c r="EX118">
        <v>0.66</v>
      </c>
      <c r="EY118">
        <v>0</v>
      </c>
      <c r="FQ118">
        <v>0</v>
      </c>
      <c r="FR118">
        <f t="shared" si="109"/>
        <v>0</v>
      </c>
      <c r="FS118">
        <v>0</v>
      </c>
      <c r="FU118" t="s">
        <v>33</v>
      </c>
      <c r="FX118">
        <v>142</v>
      </c>
      <c r="FY118">
        <v>80.75</v>
      </c>
      <c r="GA118" t="s">
        <v>3</v>
      </c>
      <c r="GD118">
        <v>1</v>
      </c>
      <c r="GF118">
        <v>1039940287</v>
      </c>
      <c r="GG118">
        <v>2</v>
      </c>
      <c r="GH118">
        <v>0</v>
      </c>
      <c r="GI118">
        <v>0</v>
      </c>
      <c r="GJ118">
        <v>0</v>
      </c>
      <c r="GK118">
        <v>0</v>
      </c>
      <c r="GL118">
        <f t="shared" si="110"/>
        <v>0</v>
      </c>
      <c r="GM118">
        <f t="shared" si="111"/>
        <v>2214</v>
      </c>
      <c r="GN118">
        <f t="shared" si="112"/>
        <v>2214</v>
      </c>
      <c r="GO118">
        <f t="shared" si="113"/>
        <v>0</v>
      </c>
      <c r="GP118">
        <f t="shared" si="114"/>
        <v>0</v>
      </c>
      <c r="GR118">
        <v>0</v>
      </c>
      <c r="GS118">
        <v>0</v>
      </c>
      <c r="GT118">
        <v>0</v>
      </c>
      <c r="GU118" t="s">
        <v>3</v>
      </c>
      <c r="GV118">
        <f t="shared" si="115"/>
        <v>0</v>
      </c>
      <c r="GW118">
        <v>1</v>
      </c>
      <c r="GX118">
        <f t="shared" si="116"/>
        <v>0</v>
      </c>
      <c r="HA118">
        <v>0</v>
      </c>
      <c r="HB118">
        <v>0</v>
      </c>
      <c r="HC118">
        <f t="shared" si="117"/>
        <v>0</v>
      </c>
      <c r="IK118">
        <v>0</v>
      </c>
    </row>
    <row r="119" spans="1:245" x14ac:dyDescent="0.2">
      <c r="A119">
        <v>17</v>
      </c>
      <c r="B119">
        <v>1</v>
      </c>
      <c r="C119">
        <f>ROW(SmtRes!A64)</f>
        <v>64</v>
      </c>
      <c r="D119">
        <f>ROW(EtalonRes!A65)</f>
        <v>65</v>
      </c>
      <c r="E119" t="s">
        <v>170</v>
      </c>
      <c r="F119" t="s">
        <v>171</v>
      </c>
      <c r="G119" t="s">
        <v>172</v>
      </c>
      <c r="H119" t="s">
        <v>173</v>
      </c>
      <c r="I119">
        <f>ROUND((I122*1000)/1000,4)</f>
        <v>2.8813</v>
      </c>
      <c r="J119">
        <v>0</v>
      </c>
      <c r="O119">
        <f t="shared" si="83"/>
        <v>127399</v>
      </c>
      <c r="P119">
        <f t="shared" si="84"/>
        <v>117807</v>
      </c>
      <c r="Q119">
        <f t="shared" si="85"/>
        <v>8598</v>
      </c>
      <c r="R119">
        <f t="shared" si="86"/>
        <v>930</v>
      </c>
      <c r="S119">
        <f t="shared" si="87"/>
        <v>994</v>
      </c>
      <c r="T119">
        <f t="shared" si="88"/>
        <v>0</v>
      </c>
      <c r="U119">
        <f t="shared" si="89"/>
        <v>126.90685849999998</v>
      </c>
      <c r="V119">
        <f t="shared" si="90"/>
        <v>68.791037500000002</v>
      </c>
      <c r="W119">
        <f t="shared" si="91"/>
        <v>0</v>
      </c>
      <c r="X119">
        <f t="shared" si="92"/>
        <v>2732</v>
      </c>
      <c r="Y119">
        <f t="shared" si="93"/>
        <v>1558</v>
      </c>
      <c r="AA119">
        <v>50210945</v>
      </c>
      <c r="AB119">
        <f t="shared" si="94"/>
        <v>44215.7</v>
      </c>
      <c r="AC119">
        <f t="shared" si="95"/>
        <v>40886.699999999997</v>
      </c>
      <c r="AD119">
        <f>ROUND(((((ET119*1.25))-((EU119*1.25)))+AE119),1)</f>
        <v>2984.1</v>
      </c>
      <c r="AE119">
        <f>ROUND(((EU119*1.25)),1)</f>
        <v>322.60000000000002</v>
      </c>
      <c r="AF119">
        <f>ROUND(((EV119*1.15)),1)</f>
        <v>344.9</v>
      </c>
      <c r="AG119">
        <f t="shared" si="96"/>
        <v>0</v>
      </c>
      <c r="AH119">
        <f>((EW119*1.15))</f>
        <v>44.044999999999995</v>
      </c>
      <c r="AI119">
        <f>((EX119*1.25))</f>
        <v>23.875</v>
      </c>
      <c r="AJ119">
        <f t="shared" si="97"/>
        <v>0</v>
      </c>
      <c r="AK119">
        <v>43573.77</v>
      </c>
      <c r="AL119">
        <v>40886.68</v>
      </c>
      <c r="AM119">
        <v>2387.1999999999998</v>
      </c>
      <c r="AN119">
        <v>258.04000000000002</v>
      </c>
      <c r="AO119">
        <v>299.89</v>
      </c>
      <c r="AP119">
        <v>0</v>
      </c>
      <c r="AQ119">
        <v>38.299999999999997</v>
      </c>
      <c r="AR119">
        <v>19.100000000000001</v>
      </c>
      <c r="AS119">
        <v>0</v>
      </c>
      <c r="AT119">
        <v>142</v>
      </c>
      <c r="AU119">
        <v>81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1</v>
      </c>
      <c r="BJ119" t="s">
        <v>174</v>
      </c>
      <c r="BM119">
        <v>27001</v>
      </c>
      <c r="BN119">
        <v>0</v>
      </c>
      <c r="BO119" t="s">
        <v>3</v>
      </c>
      <c r="BP119">
        <v>0</v>
      </c>
      <c r="BQ119">
        <v>2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142</v>
      </c>
      <c r="CA119">
        <v>95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98"/>
        <v>127399</v>
      </c>
      <c r="CQ119">
        <f t="shared" si="99"/>
        <v>40886.699999999997</v>
      </c>
      <c r="CR119">
        <f t="shared" si="100"/>
        <v>2984.1</v>
      </c>
      <c r="CS119">
        <f t="shared" si="101"/>
        <v>322.60000000000002</v>
      </c>
      <c r="CT119">
        <f t="shared" si="102"/>
        <v>344.9</v>
      </c>
      <c r="CU119">
        <f t="shared" si="103"/>
        <v>0</v>
      </c>
      <c r="CV119">
        <f t="shared" si="104"/>
        <v>44.044999999999995</v>
      </c>
      <c r="CW119">
        <f t="shared" si="105"/>
        <v>23.875</v>
      </c>
      <c r="CX119">
        <f t="shared" si="106"/>
        <v>0</v>
      </c>
      <c r="CY119">
        <f t="shared" si="107"/>
        <v>2732.08</v>
      </c>
      <c r="CZ119">
        <f t="shared" si="108"/>
        <v>1558.44</v>
      </c>
      <c r="DC119" t="s">
        <v>3</v>
      </c>
      <c r="DD119" t="s">
        <v>3</v>
      </c>
      <c r="DE119" t="s">
        <v>61</v>
      </c>
      <c r="DF119" t="s">
        <v>61</v>
      </c>
      <c r="DG119" t="s">
        <v>62</v>
      </c>
      <c r="DH119" t="s">
        <v>3</v>
      </c>
      <c r="DI119" t="s">
        <v>62</v>
      </c>
      <c r="DJ119" t="s">
        <v>61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173</v>
      </c>
      <c r="DW119" t="s">
        <v>173</v>
      </c>
      <c r="DX119">
        <v>1</v>
      </c>
      <c r="EE119">
        <v>48752256</v>
      </c>
      <c r="EF119">
        <v>2</v>
      </c>
      <c r="EG119" t="s">
        <v>30</v>
      </c>
      <c r="EH119">
        <v>0</v>
      </c>
      <c r="EI119" t="s">
        <v>3</v>
      </c>
      <c r="EJ119">
        <v>1</v>
      </c>
      <c r="EK119">
        <v>27001</v>
      </c>
      <c r="EL119" t="s">
        <v>73</v>
      </c>
      <c r="EM119" t="s">
        <v>74</v>
      </c>
      <c r="EO119" t="s">
        <v>3</v>
      </c>
      <c r="EQ119">
        <v>131072</v>
      </c>
      <c r="ER119">
        <v>43573.77</v>
      </c>
      <c r="ES119">
        <v>40886.68</v>
      </c>
      <c r="ET119">
        <v>2387.1999999999998</v>
      </c>
      <c r="EU119">
        <v>258.04000000000002</v>
      </c>
      <c r="EV119">
        <v>299.89</v>
      </c>
      <c r="EW119">
        <v>38.299999999999997</v>
      </c>
      <c r="EX119">
        <v>19.100000000000001</v>
      </c>
      <c r="EY119">
        <v>0</v>
      </c>
      <c r="FQ119">
        <v>0</v>
      </c>
      <c r="FR119">
        <f t="shared" si="109"/>
        <v>0</v>
      </c>
      <c r="FS119">
        <v>0</v>
      </c>
      <c r="FU119" t="s">
        <v>33</v>
      </c>
      <c r="FX119">
        <v>142</v>
      </c>
      <c r="FY119">
        <v>80.75</v>
      </c>
      <c r="GA119" t="s">
        <v>3</v>
      </c>
      <c r="GD119">
        <v>1</v>
      </c>
      <c r="GF119">
        <v>266210548</v>
      </c>
      <c r="GG119">
        <v>2</v>
      </c>
      <c r="GH119">
        <v>0</v>
      </c>
      <c r="GI119">
        <v>0</v>
      </c>
      <c r="GJ119">
        <v>0</v>
      </c>
      <c r="GK119">
        <v>0</v>
      </c>
      <c r="GL119">
        <f t="shared" si="110"/>
        <v>0</v>
      </c>
      <c r="GM119">
        <f t="shared" si="111"/>
        <v>131689</v>
      </c>
      <c r="GN119">
        <f t="shared" si="112"/>
        <v>131689</v>
      </c>
      <c r="GO119">
        <f t="shared" si="113"/>
        <v>0</v>
      </c>
      <c r="GP119">
        <f t="shared" si="114"/>
        <v>0</v>
      </c>
      <c r="GR119">
        <v>0</v>
      </c>
      <c r="GS119">
        <v>0</v>
      </c>
      <c r="GT119">
        <v>0</v>
      </c>
      <c r="GU119" t="s">
        <v>3</v>
      </c>
      <c r="GV119">
        <f t="shared" si="115"/>
        <v>0</v>
      </c>
      <c r="GW119">
        <v>1</v>
      </c>
      <c r="GX119">
        <f t="shared" si="116"/>
        <v>0</v>
      </c>
      <c r="HA119">
        <v>0</v>
      </c>
      <c r="HB119">
        <v>0</v>
      </c>
      <c r="HC119">
        <f t="shared" si="117"/>
        <v>0</v>
      </c>
      <c r="IK119">
        <v>0</v>
      </c>
    </row>
    <row r="120" spans="1:245" x14ac:dyDescent="0.2">
      <c r="A120">
        <v>17</v>
      </c>
      <c r="B120">
        <v>1</v>
      </c>
      <c r="C120">
        <f>ROW(SmtRes!A67)</f>
        <v>67</v>
      </c>
      <c r="D120">
        <f>ROW(EtalonRes!A68)</f>
        <v>68</v>
      </c>
      <c r="E120" t="s">
        <v>175</v>
      </c>
      <c r="F120" t="s">
        <v>176</v>
      </c>
      <c r="G120" t="s">
        <v>177</v>
      </c>
      <c r="H120" t="s">
        <v>173</v>
      </c>
      <c r="I120">
        <f>ROUND((I119*1000)/1000,4)</f>
        <v>2.8813</v>
      </c>
      <c r="J120">
        <v>0</v>
      </c>
      <c r="O120">
        <f t="shared" si="83"/>
        <v>29168</v>
      </c>
      <c r="P120">
        <f t="shared" si="84"/>
        <v>29163</v>
      </c>
      <c r="Q120">
        <f t="shared" si="85"/>
        <v>0</v>
      </c>
      <c r="R120">
        <f t="shared" si="86"/>
        <v>0</v>
      </c>
      <c r="S120">
        <f t="shared" si="87"/>
        <v>5</v>
      </c>
      <c r="T120">
        <f t="shared" si="88"/>
        <v>0</v>
      </c>
      <c r="U120">
        <f t="shared" si="89"/>
        <v>0.59642909999999993</v>
      </c>
      <c r="V120">
        <f t="shared" si="90"/>
        <v>0</v>
      </c>
      <c r="W120">
        <f t="shared" si="91"/>
        <v>0</v>
      </c>
      <c r="X120">
        <f t="shared" si="92"/>
        <v>7</v>
      </c>
      <c r="Y120">
        <f t="shared" si="93"/>
        <v>4</v>
      </c>
      <c r="AA120">
        <v>50210945</v>
      </c>
      <c r="AB120">
        <f t="shared" si="94"/>
        <v>10123</v>
      </c>
      <c r="AC120">
        <f>ROUND(((ES120*2)),1)</f>
        <v>10121.4</v>
      </c>
      <c r="AD120">
        <f>ROUND((((((ET120*1.25)*2))-(((EU120*1.25)*2)))+AE120),1)</f>
        <v>0</v>
      </c>
      <c r="AE120">
        <f>ROUND((((EU120*1.25)*2)),1)</f>
        <v>0</v>
      </c>
      <c r="AF120">
        <f>ROUND((((EV120*1.15)*2)),1)</f>
        <v>1.6</v>
      </c>
      <c r="AG120">
        <f t="shared" si="96"/>
        <v>0</v>
      </c>
      <c r="AH120">
        <f>(((EW120*1.15)*2))</f>
        <v>0.20699999999999999</v>
      </c>
      <c r="AI120">
        <f>(((EX120*1.25)*2))</f>
        <v>0</v>
      </c>
      <c r="AJ120">
        <f t="shared" si="97"/>
        <v>0</v>
      </c>
      <c r="AK120">
        <v>5061.38</v>
      </c>
      <c r="AL120">
        <v>5060.68</v>
      </c>
      <c r="AM120">
        <v>0</v>
      </c>
      <c r="AN120">
        <v>0</v>
      </c>
      <c r="AO120">
        <v>0.7</v>
      </c>
      <c r="AP120">
        <v>0</v>
      </c>
      <c r="AQ120">
        <v>0.09</v>
      </c>
      <c r="AR120">
        <v>0</v>
      </c>
      <c r="AS120">
        <v>0</v>
      </c>
      <c r="AT120">
        <v>142</v>
      </c>
      <c r="AU120">
        <v>81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1</v>
      </c>
      <c r="BJ120" t="s">
        <v>178</v>
      </c>
      <c r="BM120">
        <v>27001</v>
      </c>
      <c r="BN120">
        <v>0</v>
      </c>
      <c r="BO120" t="s">
        <v>3</v>
      </c>
      <c r="BP120">
        <v>0</v>
      </c>
      <c r="BQ120">
        <v>2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142</v>
      </c>
      <c r="CA120">
        <v>95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98"/>
        <v>29168</v>
      </c>
      <c r="CQ120">
        <f t="shared" si="99"/>
        <v>10121.4</v>
      </c>
      <c r="CR120">
        <f t="shared" si="100"/>
        <v>0</v>
      </c>
      <c r="CS120">
        <f t="shared" si="101"/>
        <v>0</v>
      </c>
      <c r="CT120">
        <f t="shared" si="102"/>
        <v>1.6</v>
      </c>
      <c r="CU120">
        <f t="shared" si="103"/>
        <v>0</v>
      </c>
      <c r="CV120">
        <f t="shared" si="104"/>
        <v>0.20699999999999999</v>
      </c>
      <c r="CW120">
        <f t="shared" si="105"/>
        <v>0</v>
      </c>
      <c r="CX120">
        <f t="shared" si="106"/>
        <v>0</v>
      </c>
      <c r="CY120">
        <f t="shared" si="107"/>
        <v>7.1</v>
      </c>
      <c r="CZ120">
        <f t="shared" si="108"/>
        <v>4.05</v>
      </c>
      <c r="DC120" t="s">
        <v>3</v>
      </c>
      <c r="DD120" t="s">
        <v>179</v>
      </c>
      <c r="DE120" t="s">
        <v>180</v>
      </c>
      <c r="DF120" t="s">
        <v>180</v>
      </c>
      <c r="DG120" t="s">
        <v>181</v>
      </c>
      <c r="DH120" t="s">
        <v>3</v>
      </c>
      <c r="DI120" t="s">
        <v>181</v>
      </c>
      <c r="DJ120" t="s">
        <v>180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173</v>
      </c>
      <c r="DW120" t="s">
        <v>173</v>
      </c>
      <c r="DX120">
        <v>1</v>
      </c>
      <c r="EE120">
        <v>48752256</v>
      </c>
      <c r="EF120">
        <v>2</v>
      </c>
      <c r="EG120" t="s">
        <v>30</v>
      </c>
      <c r="EH120">
        <v>0</v>
      </c>
      <c r="EI120" t="s">
        <v>3</v>
      </c>
      <c r="EJ120">
        <v>1</v>
      </c>
      <c r="EK120">
        <v>27001</v>
      </c>
      <c r="EL120" t="s">
        <v>73</v>
      </c>
      <c r="EM120" t="s">
        <v>74</v>
      </c>
      <c r="EO120" t="s">
        <v>3</v>
      </c>
      <c r="EQ120">
        <v>131072</v>
      </c>
      <c r="ER120">
        <v>5061.38</v>
      </c>
      <c r="ES120">
        <v>5060.68</v>
      </c>
      <c r="ET120">
        <v>0</v>
      </c>
      <c r="EU120">
        <v>0</v>
      </c>
      <c r="EV120">
        <v>0.7</v>
      </c>
      <c r="EW120">
        <v>0.09</v>
      </c>
      <c r="EX120">
        <v>0</v>
      </c>
      <c r="EY120">
        <v>0</v>
      </c>
      <c r="FQ120">
        <v>0</v>
      </c>
      <c r="FR120">
        <f t="shared" si="109"/>
        <v>0</v>
      </c>
      <c r="FS120">
        <v>0</v>
      </c>
      <c r="FU120" t="s">
        <v>33</v>
      </c>
      <c r="FX120">
        <v>142</v>
      </c>
      <c r="FY120">
        <v>80.75</v>
      </c>
      <c r="GA120" t="s">
        <v>3</v>
      </c>
      <c r="GD120">
        <v>1</v>
      </c>
      <c r="GF120">
        <v>-253943095</v>
      </c>
      <c r="GG120">
        <v>2</v>
      </c>
      <c r="GH120">
        <v>0</v>
      </c>
      <c r="GI120">
        <v>0</v>
      </c>
      <c r="GJ120">
        <v>0</v>
      </c>
      <c r="GK120">
        <v>0</v>
      </c>
      <c r="GL120">
        <f t="shared" si="110"/>
        <v>0</v>
      </c>
      <c r="GM120">
        <f t="shared" si="111"/>
        <v>29179</v>
      </c>
      <c r="GN120">
        <f t="shared" si="112"/>
        <v>29179</v>
      </c>
      <c r="GO120">
        <f t="shared" si="113"/>
        <v>0</v>
      </c>
      <c r="GP120">
        <f t="shared" si="114"/>
        <v>0</v>
      </c>
      <c r="GR120">
        <v>0</v>
      </c>
      <c r="GS120">
        <v>0</v>
      </c>
      <c r="GT120">
        <v>0</v>
      </c>
      <c r="GU120" t="s">
        <v>3</v>
      </c>
      <c r="GV120">
        <f t="shared" si="115"/>
        <v>0</v>
      </c>
      <c r="GW120">
        <v>1</v>
      </c>
      <c r="GX120">
        <f t="shared" si="116"/>
        <v>0</v>
      </c>
      <c r="HA120">
        <v>0</v>
      </c>
      <c r="HB120">
        <v>0</v>
      </c>
      <c r="HC120">
        <f t="shared" si="117"/>
        <v>0</v>
      </c>
      <c r="IK120">
        <v>0</v>
      </c>
    </row>
    <row r="121" spans="1:245" x14ac:dyDescent="0.2">
      <c r="A121">
        <v>17</v>
      </c>
      <c r="B121">
        <v>1</v>
      </c>
      <c r="C121">
        <f>ROW(SmtRes!A70)</f>
        <v>70</v>
      </c>
      <c r="D121">
        <f>ROW(EtalonRes!A71)</f>
        <v>71</v>
      </c>
      <c r="E121" t="s">
        <v>182</v>
      </c>
      <c r="F121" t="s">
        <v>166</v>
      </c>
      <c r="G121" t="s">
        <v>167</v>
      </c>
      <c r="H121" t="s">
        <v>168</v>
      </c>
      <c r="I121">
        <f>ROUND(I122*1000*0.0003,4)</f>
        <v>0.86439999999999995</v>
      </c>
      <c r="J121">
        <v>0</v>
      </c>
      <c r="O121">
        <f t="shared" si="83"/>
        <v>1311</v>
      </c>
      <c r="P121">
        <f t="shared" si="84"/>
        <v>1268</v>
      </c>
      <c r="Q121">
        <f t="shared" si="85"/>
        <v>43</v>
      </c>
      <c r="R121">
        <f t="shared" si="86"/>
        <v>8</v>
      </c>
      <c r="S121">
        <f t="shared" si="87"/>
        <v>0</v>
      </c>
      <c r="T121">
        <f t="shared" si="88"/>
        <v>0</v>
      </c>
      <c r="U121">
        <f t="shared" si="89"/>
        <v>0</v>
      </c>
      <c r="V121">
        <f t="shared" si="90"/>
        <v>0.71313000000000004</v>
      </c>
      <c r="W121">
        <f t="shared" si="91"/>
        <v>0</v>
      </c>
      <c r="X121">
        <f t="shared" si="92"/>
        <v>11</v>
      </c>
      <c r="Y121">
        <f t="shared" si="93"/>
        <v>6</v>
      </c>
      <c r="AA121">
        <v>50210945</v>
      </c>
      <c r="AB121">
        <f t="shared" si="94"/>
        <v>1516.5</v>
      </c>
      <c r="AC121">
        <f>ROUND((ES121),1)</f>
        <v>1467.1</v>
      </c>
      <c r="AD121">
        <f>ROUND(((((ET121*1.25))-((EU121*1.25)))+AE121),1)</f>
        <v>49.4</v>
      </c>
      <c r="AE121">
        <f>ROUND(((EU121*1.25)),1)</f>
        <v>8.8000000000000007</v>
      </c>
      <c r="AF121">
        <f>ROUND(((EV121*1.15)),1)</f>
        <v>0</v>
      </c>
      <c r="AG121">
        <f t="shared" si="96"/>
        <v>0</v>
      </c>
      <c r="AH121">
        <f>((EW121*1.15))</f>
        <v>0</v>
      </c>
      <c r="AI121">
        <f>((EX121*1.25))</f>
        <v>0.82500000000000007</v>
      </c>
      <c r="AJ121">
        <f t="shared" si="97"/>
        <v>0</v>
      </c>
      <c r="AK121">
        <v>1506.54</v>
      </c>
      <c r="AL121">
        <v>1467.08</v>
      </c>
      <c r="AM121">
        <v>39.46</v>
      </c>
      <c r="AN121">
        <v>7.02</v>
      </c>
      <c r="AO121">
        <v>0</v>
      </c>
      <c r="AP121">
        <v>0</v>
      </c>
      <c r="AQ121">
        <v>0</v>
      </c>
      <c r="AR121">
        <v>0.66</v>
      </c>
      <c r="AS121">
        <v>0</v>
      </c>
      <c r="AT121">
        <v>142</v>
      </c>
      <c r="AU121">
        <v>81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1</v>
      </c>
      <c r="BJ121" t="s">
        <v>169</v>
      </c>
      <c r="BM121">
        <v>27001</v>
      </c>
      <c r="BN121">
        <v>0</v>
      </c>
      <c r="BO121" t="s">
        <v>3</v>
      </c>
      <c r="BP121">
        <v>0</v>
      </c>
      <c r="BQ121">
        <v>2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142</v>
      </c>
      <c r="CA121">
        <v>95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98"/>
        <v>1311</v>
      </c>
      <c r="CQ121">
        <f t="shared" si="99"/>
        <v>1467.1</v>
      </c>
      <c r="CR121">
        <f t="shared" si="100"/>
        <v>49.4</v>
      </c>
      <c r="CS121">
        <f t="shared" si="101"/>
        <v>8.8000000000000007</v>
      </c>
      <c r="CT121">
        <f t="shared" si="102"/>
        <v>0</v>
      </c>
      <c r="CU121">
        <f t="shared" si="103"/>
        <v>0</v>
      </c>
      <c r="CV121">
        <f t="shared" si="104"/>
        <v>0</v>
      </c>
      <c r="CW121">
        <f t="shared" si="105"/>
        <v>0.82500000000000007</v>
      </c>
      <c r="CX121">
        <f t="shared" si="106"/>
        <v>0</v>
      </c>
      <c r="CY121">
        <f t="shared" si="107"/>
        <v>11.36</v>
      </c>
      <c r="CZ121">
        <f t="shared" si="108"/>
        <v>6.48</v>
      </c>
      <c r="DC121" t="s">
        <v>3</v>
      </c>
      <c r="DD121" t="s">
        <v>3</v>
      </c>
      <c r="DE121" t="s">
        <v>11</v>
      </c>
      <c r="DF121" t="s">
        <v>11</v>
      </c>
      <c r="DG121" t="s">
        <v>12</v>
      </c>
      <c r="DH121" t="s">
        <v>3</v>
      </c>
      <c r="DI121" t="s">
        <v>12</v>
      </c>
      <c r="DJ121" t="s">
        <v>11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168</v>
      </c>
      <c r="DW121" t="s">
        <v>168</v>
      </c>
      <c r="DX121">
        <v>1</v>
      </c>
      <c r="EE121">
        <v>48752256</v>
      </c>
      <c r="EF121">
        <v>2</v>
      </c>
      <c r="EG121" t="s">
        <v>30</v>
      </c>
      <c r="EH121">
        <v>0</v>
      </c>
      <c r="EI121" t="s">
        <v>3</v>
      </c>
      <c r="EJ121">
        <v>1</v>
      </c>
      <c r="EK121">
        <v>27001</v>
      </c>
      <c r="EL121" t="s">
        <v>73</v>
      </c>
      <c r="EM121" t="s">
        <v>74</v>
      </c>
      <c r="EO121" t="s">
        <v>3</v>
      </c>
      <c r="EQ121">
        <v>131072</v>
      </c>
      <c r="ER121">
        <v>1506.54</v>
      </c>
      <c r="ES121">
        <v>1467.08</v>
      </c>
      <c r="ET121">
        <v>39.46</v>
      </c>
      <c r="EU121">
        <v>7.02</v>
      </c>
      <c r="EV121">
        <v>0</v>
      </c>
      <c r="EW121">
        <v>0</v>
      </c>
      <c r="EX121">
        <v>0.66</v>
      </c>
      <c r="EY121">
        <v>0</v>
      </c>
      <c r="FQ121">
        <v>0</v>
      </c>
      <c r="FR121">
        <f t="shared" si="109"/>
        <v>0</v>
      </c>
      <c r="FS121">
        <v>0</v>
      </c>
      <c r="FU121" t="s">
        <v>33</v>
      </c>
      <c r="FX121">
        <v>142</v>
      </c>
      <c r="FY121">
        <v>80.75</v>
      </c>
      <c r="GA121" t="s">
        <v>3</v>
      </c>
      <c r="GD121">
        <v>1</v>
      </c>
      <c r="GF121">
        <v>1039940287</v>
      </c>
      <c r="GG121">
        <v>2</v>
      </c>
      <c r="GH121">
        <v>0</v>
      </c>
      <c r="GI121">
        <v>0</v>
      </c>
      <c r="GJ121">
        <v>0</v>
      </c>
      <c r="GK121">
        <v>0</v>
      </c>
      <c r="GL121">
        <f t="shared" si="110"/>
        <v>0</v>
      </c>
      <c r="GM121">
        <f t="shared" si="111"/>
        <v>1328</v>
      </c>
      <c r="GN121">
        <f t="shared" si="112"/>
        <v>1328</v>
      </c>
      <c r="GO121">
        <f t="shared" si="113"/>
        <v>0</v>
      </c>
      <c r="GP121">
        <f t="shared" si="114"/>
        <v>0</v>
      </c>
      <c r="GR121">
        <v>0</v>
      </c>
      <c r="GS121">
        <v>0</v>
      </c>
      <c r="GT121">
        <v>0</v>
      </c>
      <c r="GU121" t="s">
        <v>3</v>
      </c>
      <c r="GV121">
        <f t="shared" si="115"/>
        <v>0</v>
      </c>
      <c r="GW121">
        <v>1</v>
      </c>
      <c r="GX121">
        <f t="shared" si="116"/>
        <v>0</v>
      </c>
      <c r="HA121">
        <v>0</v>
      </c>
      <c r="HB121">
        <v>0</v>
      </c>
      <c r="HC121">
        <f t="shared" si="117"/>
        <v>0</v>
      </c>
      <c r="IK121">
        <v>0</v>
      </c>
    </row>
    <row r="122" spans="1:245" x14ac:dyDescent="0.2">
      <c r="A122">
        <v>17</v>
      </c>
      <c r="B122">
        <v>1</v>
      </c>
      <c r="C122">
        <f>ROW(SmtRes!A84)</f>
        <v>84</v>
      </c>
      <c r="D122">
        <f>ROW(EtalonRes!A84)</f>
        <v>84</v>
      </c>
      <c r="E122" t="s">
        <v>183</v>
      </c>
      <c r="F122" t="s">
        <v>184</v>
      </c>
      <c r="G122" t="s">
        <v>185</v>
      </c>
      <c r="H122" t="s">
        <v>173</v>
      </c>
      <c r="I122">
        <f>ROUND(2881.27/1000,4)</f>
        <v>2.8813</v>
      </c>
      <c r="J122">
        <v>0</v>
      </c>
      <c r="O122">
        <f t="shared" si="83"/>
        <v>127737</v>
      </c>
      <c r="P122">
        <f t="shared" si="84"/>
        <v>118166</v>
      </c>
      <c r="Q122">
        <f t="shared" si="85"/>
        <v>8577</v>
      </c>
      <c r="R122">
        <f t="shared" si="86"/>
        <v>928</v>
      </c>
      <c r="S122">
        <f t="shared" si="87"/>
        <v>994</v>
      </c>
      <c r="T122">
        <f t="shared" si="88"/>
        <v>0</v>
      </c>
      <c r="U122">
        <f t="shared" si="89"/>
        <v>126.90685849999998</v>
      </c>
      <c r="V122">
        <f t="shared" si="90"/>
        <v>68.719004999999996</v>
      </c>
      <c r="W122">
        <f t="shared" si="91"/>
        <v>0</v>
      </c>
      <c r="X122">
        <f t="shared" si="92"/>
        <v>2729</v>
      </c>
      <c r="Y122">
        <f t="shared" si="93"/>
        <v>1557</v>
      </c>
      <c r="AA122">
        <v>50210945</v>
      </c>
      <c r="AB122">
        <f t="shared" si="94"/>
        <v>44333.1</v>
      </c>
      <c r="AC122">
        <f>ROUND((ES122),1)</f>
        <v>41011.300000000003</v>
      </c>
      <c r="AD122">
        <f>ROUND(((((ET122*1.25))-((EU122*1.25)))+AE122),1)</f>
        <v>2976.9</v>
      </c>
      <c r="AE122">
        <f>ROUND(((EU122*1.25)),1)</f>
        <v>322.2</v>
      </c>
      <c r="AF122">
        <f>ROUND(((EV122*1.15)),1)</f>
        <v>344.9</v>
      </c>
      <c r="AG122">
        <f t="shared" si="96"/>
        <v>0</v>
      </c>
      <c r="AH122">
        <f>((EW122*1.15))</f>
        <v>44.044999999999995</v>
      </c>
      <c r="AI122">
        <f>((EX122*1.25))</f>
        <v>23.849999999999998</v>
      </c>
      <c r="AJ122">
        <f t="shared" si="97"/>
        <v>0</v>
      </c>
      <c r="AK122">
        <v>43692.65</v>
      </c>
      <c r="AL122">
        <v>41011.26</v>
      </c>
      <c r="AM122">
        <v>2381.5</v>
      </c>
      <c r="AN122">
        <v>257.77</v>
      </c>
      <c r="AO122">
        <v>299.89</v>
      </c>
      <c r="AP122">
        <v>0</v>
      </c>
      <c r="AQ122">
        <v>38.299999999999997</v>
      </c>
      <c r="AR122">
        <v>19.079999999999998</v>
      </c>
      <c r="AS122">
        <v>0</v>
      </c>
      <c r="AT122">
        <v>142</v>
      </c>
      <c r="AU122">
        <v>81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186</v>
      </c>
      <c r="BM122">
        <v>27001</v>
      </c>
      <c r="BN122">
        <v>0</v>
      </c>
      <c r="BO122" t="s">
        <v>3</v>
      </c>
      <c r="BP122">
        <v>0</v>
      </c>
      <c r="BQ122">
        <v>2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142</v>
      </c>
      <c r="CA122">
        <v>95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98"/>
        <v>127737</v>
      </c>
      <c r="CQ122">
        <f t="shared" si="99"/>
        <v>41011.300000000003</v>
      </c>
      <c r="CR122">
        <f t="shared" si="100"/>
        <v>2976.9</v>
      </c>
      <c r="CS122">
        <f t="shared" si="101"/>
        <v>322.2</v>
      </c>
      <c r="CT122">
        <f t="shared" si="102"/>
        <v>344.9</v>
      </c>
      <c r="CU122">
        <f t="shared" si="103"/>
        <v>0</v>
      </c>
      <c r="CV122">
        <f t="shared" si="104"/>
        <v>44.044999999999995</v>
      </c>
      <c r="CW122">
        <f t="shared" si="105"/>
        <v>23.849999999999998</v>
      </c>
      <c r="CX122">
        <f t="shared" si="106"/>
        <v>0</v>
      </c>
      <c r="CY122">
        <f t="shared" si="107"/>
        <v>2729.24</v>
      </c>
      <c r="CZ122">
        <f t="shared" si="108"/>
        <v>1556.82</v>
      </c>
      <c r="DC122" t="s">
        <v>3</v>
      </c>
      <c r="DD122" t="s">
        <v>3</v>
      </c>
      <c r="DE122" t="s">
        <v>11</v>
      </c>
      <c r="DF122" t="s">
        <v>11</v>
      </c>
      <c r="DG122" t="s">
        <v>12</v>
      </c>
      <c r="DH122" t="s">
        <v>3</v>
      </c>
      <c r="DI122" t="s">
        <v>12</v>
      </c>
      <c r="DJ122" t="s">
        <v>11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173</v>
      </c>
      <c r="DW122" t="s">
        <v>173</v>
      </c>
      <c r="DX122">
        <v>1</v>
      </c>
      <c r="EE122">
        <v>48752256</v>
      </c>
      <c r="EF122">
        <v>2</v>
      </c>
      <c r="EG122" t="s">
        <v>30</v>
      </c>
      <c r="EH122">
        <v>0</v>
      </c>
      <c r="EI122" t="s">
        <v>3</v>
      </c>
      <c r="EJ122">
        <v>1</v>
      </c>
      <c r="EK122">
        <v>27001</v>
      </c>
      <c r="EL122" t="s">
        <v>73</v>
      </c>
      <c r="EM122" t="s">
        <v>74</v>
      </c>
      <c r="EO122" t="s">
        <v>3</v>
      </c>
      <c r="EQ122">
        <v>131072</v>
      </c>
      <c r="ER122">
        <v>43692.65</v>
      </c>
      <c r="ES122">
        <v>41011.26</v>
      </c>
      <c r="ET122">
        <v>2381.5</v>
      </c>
      <c r="EU122">
        <v>257.77</v>
      </c>
      <c r="EV122">
        <v>299.89</v>
      </c>
      <c r="EW122">
        <v>38.299999999999997</v>
      </c>
      <c r="EX122">
        <v>19.079999999999998</v>
      </c>
      <c r="EY122">
        <v>0</v>
      </c>
      <c r="FQ122">
        <v>0</v>
      </c>
      <c r="FR122">
        <f t="shared" si="109"/>
        <v>0</v>
      </c>
      <c r="FS122">
        <v>0</v>
      </c>
      <c r="FU122" t="s">
        <v>33</v>
      </c>
      <c r="FX122">
        <v>142</v>
      </c>
      <c r="FY122">
        <v>80.75</v>
      </c>
      <c r="GA122" t="s">
        <v>3</v>
      </c>
      <c r="GD122">
        <v>1</v>
      </c>
      <c r="GF122">
        <v>1939643849</v>
      </c>
      <c r="GG122">
        <v>2</v>
      </c>
      <c r="GH122">
        <v>0</v>
      </c>
      <c r="GI122">
        <v>0</v>
      </c>
      <c r="GJ122">
        <v>0</v>
      </c>
      <c r="GK122">
        <v>0</v>
      </c>
      <c r="GL122">
        <f t="shared" si="110"/>
        <v>0</v>
      </c>
      <c r="GM122">
        <f t="shared" si="111"/>
        <v>132023</v>
      </c>
      <c r="GN122">
        <f t="shared" si="112"/>
        <v>132023</v>
      </c>
      <c r="GO122">
        <f t="shared" si="113"/>
        <v>0</v>
      </c>
      <c r="GP122">
        <f t="shared" si="114"/>
        <v>0</v>
      </c>
      <c r="GR122">
        <v>0</v>
      </c>
      <c r="GS122">
        <v>0</v>
      </c>
      <c r="GT122">
        <v>0</v>
      </c>
      <c r="GU122" t="s">
        <v>3</v>
      </c>
      <c r="GV122">
        <f t="shared" si="115"/>
        <v>0</v>
      </c>
      <c r="GW122">
        <v>1</v>
      </c>
      <c r="GX122">
        <f t="shared" si="116"/>
        <v>0</v>
      </c>
      <c r="HA122">
        <v>0</v>
      </c>
      <c r="HB122">
        <v>0</v>
      </c>
      <c r="HC122">
        <f t="shared" si="117"/>
        <v>0</v>
      </c>
      <c r="IK122">
        <v>0</v>
      </c>
    </row>
    <row r="123" spans="1:245" x14ac:dyDescent="0.2">
      <c r="A123">
        <v>18</v>
      </c>
      <c r="B123">
        <v>1</v>
      </c>
      <c r="C123">
        <v>83</v>
      </c>
      <c r="E123" t="s">
        <v>187</v>
      </c>
      <c r="F123" t="s">
        <v>188</v>
      </c>
      <c r="G123" t="s">
        <v>189</v>
      </c>
      <c r="H123" t="s">
        <v>190</v>
      </c>
      <c r="I123">
        <f>I122*J123</f>
        <v>-278.33357999999998</v>
      </c>
      <c r="J123">
        <v>-96.6</v>
      </c>
      <c r="O123">
        <f t="shared" si="83"/>
        <v>-117512</v>
      </c>
      <c r="P123">
        <f t="shared" si="84"/>
        <v>-117512</v>
      </c>
      <c r="Q123">
        <f t="shared" si="85"/>
        <v>0</v>
      </c>
      <c r="R123">
        <f t="shared" si="86"/>
        <v>0</v>
      </c>
      <c r="S123">
        <f t="shared" si="87"/>
        <v>0</v>
      </c>
      <c r="T123">
        <f t="shared" si="88"/>
        <v>0</v>
      </c>
      <c r="U123">
        <f t="shared" si="89"/>
        <v>0</v>
      </c>
      <c r="V123">
        <f t="shared" si="90"/>
        <v>0</v>
      </c>
      <c r="W123">
        <f t="shared" si="91"/>
        <v>0</v>
      </c>
      <c r="X123">
        <f t="shared" si="92"/>
        <v>0</v>
      </c>
      <c r="Y123">
        <f t="shared" si="93"/>
        <v>0</v>
      </c>
      <c r="AA123">
        <v>50210945</v>
      </c>
      <c r="AB123">
        <f t="shared" si="94"/>
        <v>422.2</v>
      </c>
      <c r="AC123">
        <f>ROUND((ES123),1)</f>
        <v>422.2</v>
      </c>
      <c r="AD123">
        <f>ROUND((((ET123)-(EU123))+AE123),1)</f>
        <v>0</v>
      </c>
      <c r="AE123">
        <f>ROUND((EU123),1)</f>
        <v>0</v>
      </c>
      <c r="AF123">
        <f>ROUND((EV123),1)</f>
        <v>0</v>
      </c>
      <c r="AG123">
        <f t="shared" si="96"/>
        <v>0</v>
      </c>
      <c r="AH123">
        <f>(EW123)</f>
        <v>0</v>
      </c>
      <c r="AI123">
        <f>(EX123)</f>
        <v>0</v>
      </c>
      <c r="AJ123">
        <f t="shared" si="97"/>
        <v>0</v>
      </c>
      <c r="AK123">
        <v>422.2</v>
      </c>
      <c r="AL123">
        <v>422.2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142</v>
      </c>
      <c r="AU123">
        <v>81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3</v>
      </c>
      <c r="BI123">
        <v>1</v>
      </c>
      <c r="BJ123" t="s">
        <v>191</v>
      </c>
      <c r="BM123">
        <v>27001</v>
      </c>
      <c r="BN123">
        <v>0</v>
      </c>
      <c r="BO123" t="s">
        <v>3</v>
      </c>
      <c r="BP123">
        <v>0</v>
      </c>
      <c r="BQ123">
        <v>2</v>
      </c>
      <c r="BR123">
        <v>1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142</v>
      </c>
      <c r="CA123">
        <v>95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98"/>
        <v>-117512</v>
      </c>
      <c r="CQ123">
        <f t="shared" si="99"/>
        <v>422.2</v>
      </c>
      <c r="CR123">
        <f t="shared" si="100"/>
        <v>0</v>
      </c>
      <c r="CS123">
        <f t="shared" si="101"/>
        <v>0</v>
      </c>
      <c r="CT123">
        <f t="shared" si="102"/>
        <v>0</v>
      </c>
      <c r="CU123">
        <f t="shared" si="103"/>
        <v>0</v>
      </c>
      <c r="CV123">
        <f t="shared" si="104"/>
        <v>0</v>
      </c>
      <c r="CW123">
        <f t="shared" si="105"/>
        <v>0</v>
      </c>
      <c r="CX123">
        <f t="shared" si="106"/>
        <v>0</v>
      </c>
      <c r="CY123">
        <f t="shared" si="107"/>
        <v>0</v>
      </c>
      <c r="CZ123">
        <f t="shared" si="108"/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1009</v>
      </c>
      <c r="DV123" t="s">
        <v>190</v>
      </c>
      <c r="DW123" t="s">
        <v>190</v>
      </c>
      <c r="DX123">
        <v>1000</v>
      </c>
      <c r="EE123">
        <v>48752256</v>
      </c>
      <c r="EF123">
        <v>2</v>
      </c>
      <c r="EG123" t="s">
        <v>30</v>
      </c>
      <c r="EH123">
        <v>0</v>
      </c>
      <c r="EI123" t="s">
        <v>3</v>
      </c>
      <c r="EJ123">
        <v>1</v>
      </c>
      <c r="EK123">
        <v>27001</v>
      </c>
      <c r="EL123" t="s">
        <v>73</v>
      </c>
      <c r="EM123" t="s">
        <v>74</v>
      </c>
      <c r="EO123" t="s">
        <v>3</v>
      </c>
      <c r="EQ123">
        <v>0</v>
      </c>
      <c r="ER123">
        <v>422.2</v>
      </c>
      <c r="ES123">
        <v>422.2</v>
      </c>
      <c r="ET123">
        <v>0</v>
      </c>
      <c r="EU123">
        <v>0</v>
      </c>
      <c r="EV123">
        <v>0</v>
      </c>
      <c r="EW123">
        <v>0</v>
      </c>
      <c r="EX123">
        <v>0</v>
      </c>
      <c r="FQ123">
        <v>0</v>
      </c>
      <c r="FR123">
        <f t="shared" si="109"/>
        <v>0</v>
      </c>
      <c r="FS123">
        <v>0</v>
      </c>
      <c r="FU123" t="s">
        <v>33</v>
      </c>
      <c r="FX123">
        <v>142</v>
      </c>
      <c r="FY123">
        <v>80.75</v>
      </c>
      <c r="GA123" t="s">
        <v>3</v>
      </c>
      <c r="GD123">
        <v>1</v>
      </c>
      <c r="GF123">
        <v>256039489</v>
      </c>
      <c r="GG123">
        <v>2</v>
      </c>
      <c r="GH123">
        <v>0</v>
      </c>
      <c r="GI123">
        <v>0</v>
      </c>
      <c r="GJ123">
        <v>0</v>
      </c>
      <c r="GK123">
        <v>0</v>
      </c>
      <c r="GL123">
        <f t="shared" si="110"/>
        <v>0</v>
      </c>
      <c r="GM123">
        <f t="shared" si="111"/>
        <v>-117512</v>
      </c>
      <c r="GN123">
        <f t="shared" si="112"/>
        <v>-117512</v>
      </c>
      <c r="GO123">
        <f t="shared" si="113"/>
        <v>0</v>
      </c>
      <c r="GP123">
        <f t="shared" si="114"/>
        <v>0</v>
      </c>
      <c r="GR123">
        <v>0</v>
      </c>
      <c r="GS123">
        <v>0</v>
      </c>
      <c r="GT123">
        <v>0</v>
      </c>
      <c r="GU123" t="s">
        <v>3</v>
      </c>
      <c r="GV123">
        <f t="shared" si="115"/>
        <v>0</v>
      </c>
      <c r="GW123">
        <v>1</v>
      </c>
      <c r="GX123">
        <f t="shared" si="116"/>
        <v>0</v>
      </c>
      <c r="HA123">
        <v>0</v>
      </c>
      <c r="HB123">
        <v>0</v>
      </c>
      <c r="HC123">
        <f t="shared" si="117"/>
        <v>0</v>
      </c>
      <c r="IK123">
        <v>0</v>
      </c>
    </row>
    <row r="124" spans="1:245" x14ac:dyDescent="0.2">
      <c r="A124">
        <v>18</v>
      </c>
      <c r="B124">
        <v>1</v>
      </c>
      <c r="C124">
        <v>84</v>
      </c>
      <c r="E124" t="s">
        <v>192</v>
      </c>
      <c r="F124" t="s">
        <v>193</v>
      </c>
      <c r="G124" t="s">
        <v>194</v>
      </c>
      <c r="H124" t="s">
        <v>190</v>
      </c>
      <c r="I124">
        <f>I122*J124</f>
        <v>278.33357999999998</v>
      </c>
      <c r="J124">
        <v>96.6</v>
      </c>
      <c r="O124">
        <f t="shared" si="83"/>
        <v>123719</v>
      </c>
      <c r="P124">
        <f t="shared" si="84"/>
        <v>123719</v>
      </c>
      <c r="Q124">
        <f t="shared" si="85"/>
        <v>0</v>
      </c>
      <c r="R124">
        <f t="shared" si="86"/>
        <v>0</v>
      </c>
      <c r="S124">
        <f t="shared" si="87"/>
        <v>0</v>
      </c>
      <c r="T124">
        <f t="shared" si="88"/>
        <v>0</v>
      </c>
      <c r="U124">
        <f t="shared" si="89"/>
        <v>0</v>
      </c>
      <c r="V124">
        <f t="shared" si="90"/>
        <v>0</v>
      </c>
      <c r="W124">
        <f t="shared" si="91"/>
        <v>0</v>
      </c>
      <c r="X124">
        <f t="shared" si="92"/>
        <v>0</v>
      </c>
      <c r="Y124">
        <f t="shared" si="93"/>
        <v>0</v>
      </c>
      <c r="AA124">
        <v>50210945</v>
      </c>
      <c r="AB124">
        <f t="shared" si="94"/>
        <v>444.5</v>
      </c>
      <c r="AC124">
        <f>ROUND((ES124),1)</f>
        <v>444.5</v>
      </c>
      <c r="AD124">
        <f>ROUND((((ET124)-(EU124))+AE124),1)</f>
        <v>0</v>
      </c>
      <c r="AE124">
        <f>ROUND((EU124),1)</f>
        <v>0</v>
      </c>
      <c r="AF124">
        <f>ROUND((EV124),1)</f>
        <v>0</v>
      </c>
      <c r="AG124">
        <f t="shared" si="96"/>
        <v>0</v>
      </c>
      <c r="AH124">
        <f>(EW124)</f>
        <v>0</v>
      </c>
      <c r="AI124">
        <f>(EX124)</f>
        <v>0</v>
      </c>
      <c r="AJ124">
        <f t="shared" si="97"/>
        <v>0</v>
      </c>
      <c r="AK124">
        <v>444.48</v>
      </c>
      <c r="AL124">
        <v>444.48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142</v>
      </c>
      <c r="AU124">
        <v>81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3</v>
      </c>
      <c r="BI124">
        <v>1</v>
      </c>
      <c r="BJ124" t="s">
        <v>195</v>
      </c>
      <c r="BM124">
        <v>27001</v>
      </c>
      <c r="BN124">
        <v>0</v>
      </c>
      <c r="BO124" t="s">
        <v>3</v>
      </c>
      <c r="BP124">
        <v>0</v>
      </c>
      <c r="BQ124">
        <v>2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142</v>
      </c>
      <c r="CA124">
        <v>95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98"/>
        <v>123719</v>
      </c>
      <c r="CQ124">
        <f t="shared" si="99"/>
        <v>444.5</v>
      </c>
      <c r="CR124">
        <f t="shared" si="100"/>
        <v>0</v>
      </c>
      <c r="CS124">
        <f t="shared" si="101"/>
        <v>0</v>
      </c>
      <c r="CT124">
        <f t="shared" si="102"/>
        <v>0</v>
      </c>
      <c r="CU124">
        <f t="shared" si="103"/>
        <v>0</v>
      </c>
      <c r="CV124">
        <f t="shared" si="104"/>
        <v>0</v>
      </c>
      <c r="CW124">
        <f t="shared" si="105"/>
        <v>0</v>
      </c>
      <c r="CX124">
        <f t="shared" si="106"/>
        <v>0</v>
      </c>
      <c r="CY124">
        <f t="shared" si="107"/>
        <v>0</v>
      </c>
      <c r="CZ124">
        <f t="shared" si="108"/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1009</v>
      </c>
      <c r="DV124" t="s">
        <v>190</v>
      </c>
      <c r="DW124" t="s">
        <v>190</v>
      </c>
      <c r="DX124">
        <v>1000</v>
      </c>
      <c r="EE124">
        <v>48752256</v>
      </c>
      <c r="EF124">
        <v>2</v>
      </c>
      <c r="EG124" t="s">
        <v>30</v>
      </c>
      <c r="EH124">
        <v>0</v>
      </c>
      <c r="EI124" t="s">
        <v>3</v>
      </c>
      <c r="EJ124">
        <v>1</v>
      </c>
      <c r="EK124">
        <v>27001</v>
      </c>
      <c r="EL124" t="s">
        <v>73</v>
      </c>
      <c r="EM124" t="s">
        <v>74</v>
      </c>
      <c r="EO124" t="s">
        <v>3</v>
      </c>
      <c r="EQ124">
        <v>0</v>
      </c>
      <c r="ER124">
        <v>444.48</v>
      </c>
      <c r="ES124">
        <v>444.48</v>
      </c>
      <c r="ET124">
        <v>0</v>
      </c>
      <c r="EU124">
        <v>0</v>
      </c>
      <c r="EV124">
        <v>0</v>
      </c>
      <c r="EW124">
        <v>0</v>
      </c>
      <c r="EX124">
        <v>0</v>
      </c>
      <c r="FQ124">
        <v>0</v>
      </c>
      <c r="FR124">
        <f t="shared" si="109"/>
        <v>0</v>
      </c>
      <c r="FS124">
        <v>0</v>
      </c>
      <c r="FU124" t="s">
        <v>33</v>
      </c>
      <c r="FX124">
        <v>142</v>
      </c>
      <c r="FY124">
        <v>80.75</v>
      </c>
      <c r="GA124" t="s">
        <v>3</v>
      </c>
      <c r="GD124">
        <v>1</v>
      </c>
      <c r="GF124">
        <v>-1313825229</v>
      </c>
      <c r="GG124">
        <v>2</v>
      </c>
      <c r="GH124">
        <v>0</v>
      </c>
      <c r="GI124">
        <v>0</v>
      </c>
      <c r="GJ124">
        <v>0</v>
      </c>
      <c r="GK124">
        <v>0</v>
      </c>
      <c r="GL124">
        <f t="shared" si="110"/>
        <v>0</v>
      </c>
      <c r="GM124">
        <f t="shared" si="111"/>
        <v>123719</v>
      </c>
      <c r="GN124">
        <f t="shared" si="112"/>
        <v>123719</v>
      </c>
      <c r="GO124">
        <f t="shared" si="113"/>
        <v>0</v>
      </c>
      <c r="GP124">
        <f t="shared" si="114"/>
        <v>0</v>
      </c>
      <c r="GR124">
        <v>0</v>
      </c>
      <c r="GS124">
        <v>0</v>
      </c>
      <c r="GT124">
        <v>0</v>
      </c>
      <c r="GU124" t="s">
        <v>3</v>
      </c>
      <c r="GV124">
        <f t="shared" si="115"/>
        <v>0</v>
      </c>
      <c r="GW124">
        <v>1</v>
      </c>
      <c r="GX124">
        <f t="shared" si="116"/>
        <v>0</v>
      </c>
      <c r="HA124">
        <v>0</v>
      </c>
      <c r="HB124">
        <v>0</v>
      </c>
      <c r="HC124">
        <f t="shared" si="117"/>
        <v>0</v>
      </c>
      <c r="IK124">
        <v>0</v>
      </c>
    </row>
    <row r="125" spans="1:245" x14ac:dyDescent="0.2">
      <c r="A125">
        <v>17</v>
      </c>
      <c r="B125">
        <v>1</v>
      </c>
      <c r="C125">
        <f>ROW(SmtRes!A89)</f>
        <v>89</v>
      </c>
      <c r="D125">
        <f>ROW(EtalonRes!A88)</f>
        <v>88</v>
      </c>
      <c r="E125" t="s">
        <v>196</v>
      </c>
      <c r="F125" t="s">
        <v>197</v>
      </c>
      <c r="G125" t="s">
        <v>198</v>
      </c>
      <c r="H125" t="s">
        <v>173</v>
      </c>
      <c r="I125">
        <f>ROUND((I122*1000)/1000,4)</f>
        <v>2.8813</v>
      </c>
      <c r="J125">
        <v>0</v>
      </c>
      <c r="O125">
        <f t="shared" si="83"/>
        <v>29478</v>
      </c>
      <c r="P125">
        <f t="shared" si="84"/>
        <v>29451</v>
      </c>
      <c r="Q125">
        <f t="shared" si="85"/>
        <v>22</v>
      </c>
      <c r="R125">
        <f t="shared" si="86"/>
        <v>0</v>
      </c>
      <c r="S125">
        <f t="shared" si="87"/>
        <v>5</v>
      </c>
      <c r="T125">
        <f t="shared" si="88"/>
        <v>0</v>
      </c>
      <c r="U125">
        <f t="shared" si="89"/>
        <v>0.59642909999999993</v>
      </c>
      <c r="V125">
        <f t="shared" si="90"/>
        <v>0</v>
      </c>
      <c r="W125">
        <f t="shared" si="91"/>
        <v>0</v>
      </c>
      <c r="X125">
        <f t="shared" si="92"/>
        <v>7</v>
      </c>
      <c r="Y125">
        <f t="shared" si="93"/>
        <v>4</v>
      </c>
      <c r="AA125">
        <v>50210945</v>
      </c>
      <c r="AB125">
        <f t="shared" si="94"/>
        <v>10231</v>
      </c>
      <c r="AC125">
        <f>ROUND(((ES125*2)),1)</f>
        <v>10221.6</v>
      </c>
      <c r="AD125">
        <f>ROUND((((((ET125*1.25)*2))-(((EU125*1.25)*2)))+AE125),1)</f>
        <v>7.8</v>
      </c>
      <c r="AE125">
        <f>ROUND((((EU125*1.25)*2)),1)</f>
        <v>0</v>
      </c>
      <c r="AF125">
        <f>ROUND((((EV125*1.15)*2)),1)</f>
        <v>1.6</v>
      </c>
      <c r="AG125">
        <f t="shared" si="96"/>
        <v>0</v>
      </c>
      <c r="AH125">
        <f>(((EW125*1.15)*2))</f>
        <v>0.20699999999999999</v>
      </c>
      <c r="AI125">
        <f>(((EX125*1.25)*2))</f>
        <v>0</v>
      </c>
      <c r="AJ125">
        <f t="shared" si="97"/>
        <v>0</v>
      </c>
      <c r="AK125">
        <v>5114.6000000000004</v>
      </c>
      <c r="AL125">
        <v>5110.8</v>
      </c>
      <c r="AM125">
        <v>3.1</v>
      </c>
      <c r="AN125">
        <v>0</v>
      </c>
      <c r="AO125">
        <v>0.7</v>
      </c>
      <c r="AP125">
        <v>0</v>
      </c>
      <c r="AQ125">
        <v>0.09</v>
      </c>
      <c r="AR125">
        <v>0</v>
      </c>
      <c r="AS125">
        <v>0</v>
      </c>
      <c r="AT125">
        <v>142</v>
      </c>
      <c r="AU125">
        <v>81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1</v>
      </c>
      <c r="BJ125" t="s">
        <v>199</v>
      </c>
      <c r="BM125">
        <v>27001</v>
      </c>
      <c r="BN125">
        <v>0</v>
      </c>
      <c r="BO125" t="s">
        <v>3</v>
      </c>
      <c r="BP125">
        <v>0</v>
      </c>
      <c r="BQ125">
        <v>2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142</v>
      </c>
      <c r="CA125">
        <v>95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98"/>
        <v>29478</v>
      </c>
      <c r="CQ125">
        <f t="shared" si="99"/>
        <v>10221.6</v>
      </c>
      <c r="CR125">
        <f t="shared" si="100"/>
        <v>7.8</v>
      </c>
      <c r="CS125">
        <f t="shared" si="101"/>
        <v>0</v>
      </c>
      <c r="CT125">
        <f t="shared" si="102"/>
        <v>1.6</v>
      </c>
      <c r="CU125">
        <f t="shared" si="103"/>
        <v>0</v>
      </c>
      <c r="CV125">
        <f t="shared" si="104"/>
        <v>0.20699999999999999</v>
      </c>
      <c r="CW125">
        <f t="shared" si="105"/>
        <v>0</v>
      </c>
      <c r="CX125">
        <f t="shared" si="106"/>
        <v>0</v>
      </c>
      <c r="CY125">
        <f t="shared" si="107"/>
        <v>7.1</v>
      </c>
      <c r="CZ125">
        <f t="shared" si="108"/>
        <v>4.05</v>
      </c>
      <c r="DC125" t="s">
        <v>3</v>
      </c>
      <c r="DD125" t="s">
        <v>200</v>
      </c>
      <c r="DE125" t="s">
        <v>180</v>
      </c>
      <c r="DF125" t="s">
        <v>180</v>
      </c>
      <c r="DG125" t="s">
        <v>181</v>
      </c>
      <c r="DH125" t="s">
        <v>3</v>
      </c>
      <c r="DI125" t="s">
        <v>181</v>
      </c>
      <c r="DJ125" t="s">
        <v>180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173</v>
      </c>
      <c r="DW125" t="s">
        <v>173</v>
      </c>
      <c r="DX125">
        <v>1</v>
      </c>
      <c r="EE125">
        <v>48752256</v>
      </c>
      <c r="EF125">
        <v>2</v>
      </c>
      <c r="EG125" t="s">
        <v>30</v>
      </c>
      <c r="EH125">
        <v>0</v>
      </c>
      <c r="EI125" t="s">
        <v>3</v>
      </c>
      <c r="EJ125">
        <v>1</v>
      </c>
      <c r="EK125">
        <v>27001</v>
      </c>
      <c r="EL125" t="s">
        <v>73</v>
      </c>
      <c r="EM125" t="s">
        <v>74</v>
      </c>
      <c r="EO125" t="s">
        <v>3</v>
      </c>
      <c r="EQ125">
        <v>131072</v>
      </c>
      <c r="ER125">
        <v>5114.6000000000004</v>
      </c>
      <c r="ES125">
        <v>5110.8</v>
      </c>
      <c r="ET125">
        <v>3.1</v>
      </c>
      <c r="EU125">
        <v>0</v>
      </c>
      <c r="EV125">
        <v>0.7</v>
      </c>
      <c r="EW125">
        <v>0.09</v>
      </c>
      <c r="EX125">
        <v>0</v>
      </c>
      <c r="EY125">
        <v>0</v>
      </c>
      <c r="FQ125">
        <v>0</v>
      </c>
      <c r="FR125">
        <f t="shared" si="109"/>
        <v>0</v>
      </c>
      <c r="FS125">
        <v>0</v>
      </c>
      <c r="FU125" t="s">
        <v>33</v>
      </c>
      <c r="FX125">
        <v>142</v>
      </c>
      <c r="FY125">
        <v>80.75</v>
      </c>
      <c r="GA125" t="s">
        <v>3</v>
      </c>
      <c r="GD125">
        <v>1</v>
      </c>
      <c r="GF125">
        <v>1270483884</v>
      </c>
      <c r="GG125">
        <v>2</v>
      </c>
      <c r="GH125">
        <v>0</v>
      </c>
      <c r="GI125">
        <v>0</v>
      </c>
      <c r="GJ125">
        <v>0</v>
      </c>
      <c r="GK125">
        <v>0</v>
      </c>
      <c r="GL125">
        <f t="shared" si="110"/>
        <v>0</v>
      </c>
      <c r="GM125">
        <f t="shared" si="111"/>
        <v>29489</v>
      </c>
      <c r="GN125">
        <f t="shared" si="112"/>
        <v>29489</v>
      </c>
      <c r="GO125">
        <f t="shared" si="113"/>
        <v>0</v>
      </c>
      <c r="GP125">
        <f t="shared" si="114"/>
        <v>0</v>
      </c>
      <c r="GR125">
        <v>0</v>
      </c>
      <c r="GS125">
        <v>0</v>
      </c>
      <c r="GT125">
        <v>0</v>
      </c>
      <c r="GU125" t="s">
        <v>3</v>
      </c>
      <c r="GV125">
        <f t="shared" si="115"/>
        <v>0</v>
      </c>
      <c r="GW125">
        <v>1</v>
      </c>
      <c r="GX125">
        <f t="shared" si="116"/>
        <v>0</v>
      </c>
      <c r="HA125">
        <v>0</v>
      </c>
      <c r="HB125">
        <v>0</v>
      </c>
      <c r="HC125">
        <f t="shared" si="117"/>
        <v>0</v>
      </c>
      <c r="IK125">
        <v>0</v>
      </c>
    </row>
    <row r="126" spans="1:245" x14ac:dyDescent="0.2">
      <c r="A126">
        <v>18</v>
      </c>
      <c r="B126">
        <v>1</v>
      </c>
      <c r="C126">
        <v>88</v>
      </c>
      <c r="E126" t="s">
        <v>201</v>
      </c>
      <c r="F126" t="s">
        <v>188</v>
      </c>
      <c r="G126" t="s">
        <v>189</v>
      </c>
      <c r="H126" t="s">
        <v>190</v>
      </c>
      <c r="I126">
        <f>I125*J126</f>
        <v>-69.727459999999994</v>
      </c>
      <c r="J126">
        <v>-24.2</v>
      </c>
      <c r="O126">
        <f t="shared" si="83"/>
        <v>-29439</v>
      </c>
      <c r="P126">
        <f t="shared" si="84"/>
        <v>-29439</v>
      </c>
      <c r="Q126">
        <f t="shared" si="85"/>
        <v>0</v>
      </c>
      <c r="R126">
        <f t="shared" si="86"/>
        <v>0</v>
      </c>
      <c r="S126">
        <f t="shared" si="87"/>
        <v>0</v>
      </c>
      <c r="T126">
        <f t="shared" si="88"/>
        <v>0</v>
      </c>
      <c r="U126">
        <f t="shared" si="89"/>
        <v>0</v>
      </c>
      <c r="V126">
        <f t="shared" si="90"/>
        <v>0</v>
      </c>
      <c r="W126">
        <f t="shared" si="91"/>
        <v>0</v>
      </c>
      <c r="X126">
        <f t="shared" si="92"/>
        <v>0</v>
      </c>
      <c r="Y126">
        <f t="shared" si="93"/>
        <v>0</v>
      </c>
      <c r="AA126">
        <v>50210945</v>
      </c>
      <c r="AB126">
        <f t="shared" si="94"/>
        <v>422.2</v>
      </c>
      <c r="AC126">
        <f>ROUND((ES126),1)</f>
        <v>422.2</v>
      </c>
      <c r="AD126">
        <f>ROUND((((ET126)-(EU126))+AE126),1)</f>
        <v>0</v>
      </c>
      <c r="AE126">
        <f>ROUND((EU126),1)</f>
        <v>0</v>
      </c>
      <c r="AF126">
        <f>ROUND((EV126),1)</f>
        <v>0</v>
      </c>
      <c r="AG126">
        <f t="shared" si="96"/>
        <v>0</v>
      </c>
      <c r="AH126">
        <f>(EW126)</f>
        <v>0</v>
      </c>
      <c r="AI126">
        <f>(EX126)</f>
        <v>0</v>
      </c>
      <c r="AJ126">
        <f t="shared" si="97"/>
        <v>0</v>
      </c>
      <c r="AK126">
        <v>422.2</v>
      </c>
      <c r="AL126">
        <v>422.2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142</v>
      </c>
      <c r="AU126">
        <v>81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3</v>
      </c>
      <c r="BI126">
        <v>1</v>
      </c>
      <c r="BJ126" t="s">
        <v>191</v>
      </c>
      <c r="BM126">
        <v>27001</v>
      </c>
      <c r="BN126">
        <v>0</v>
      </c>
      <c r="BO126" t="s">
        <v>3</v>
      </c>
      <c r="BP126">
        <v>0</v>
      </c>
      <c r="BQ126">
        <v>2</v>
      </c>
      <c r="BR126">
        <v>1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142</v>
      </c>
      <c r="CA126">
        <v>95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98"/>
        <v>-29439</v>
      </c>
      <c r="CQ126">
        <f t="shared" si="99"/>
        <v>422.2</v>
      </c>
      <c r="CR126">
        <f t="shared" si="100"/>
        <v>0</v>
      </c>
      <c r="CS126">
        <f t="shared" si="101"/>
        <v>0</v>
      </c>
      <c r="CT126">
        <f t="shared" si="102"/>
        <v>0</v>
      </c>
      <c r="CU126">
        <f t="shared" si="103"/>
        <v>0</v>
      </c>
      <c r="CV126">
        <f t="shared" si="104"/>
        <v>0</v>
      </c>
      <c r="CW126">
        <f t="shared" si="105"/>
        <v>0</v>
      </c>
      <c r="CX126">
        <f t="shared" si="106"/>
        <v>0</v>
      </c>
      <c r="CY126">
        <f t="shared" si="107"/>
        <v>0</v>
      </c>
      <c r="CZ126">
        <f t="shared" si="108"/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1009</v>
      </c>
      <c r="DV126" t="s">
        <v>190</v>
      </c>
      <c r="DW126" t="s">
        <v>190</v>
      </c>
      <c r="DX126">
        <v>1000</v>
      </c>
      <c r="EE126">
        <v>48752256</v>
      </c>
      <c r="EF126">
        <v>2</v>
      </c>
      <c r="EG126" t="s">
        <v>30</v>
      </c>
      <c r="EH126">
        <v>0</v>
      </c>
      <c r="EI126" t="s">
        <v>3</v>
      </c>
      <c r="EJ126">
        <v>1</v>
      </c>
      <c r="EK126">
        <v>27001</v>
      </c>
      <c r="EL126" t="s">
        <v>73</v>
      </c>
      <c r="EM126" t="s">
        <v>74</v>
      </c>
      <c r="EO126" t="s">
        <v>3</v>
      </c>
      <c r="EQ126">
        <v>0</v>
      </c>
      <c r="ER126">
        <v>422.2</v>
      </c>
      <c r="ES126">
        <v>422.2</v>
      </c>
      <c r="ET126">
        <v>0</v>
      </c>
      <c r="EU126">
        <v>0</v>
      </c>
      <c r="EV126">
        <v>0</v>
      </c>
      <c r="EW126">
        <v>0</v>
      </c>
      <c r="EX126">
        <v>0</v>
      </c>
      <c r="FQ126">
        <v>0</v>
      </c>
      <c r="FR126">
        <f t="shared" si="109"/>
        <v>0</v>
      </c>
      <c r="FS126">
        <v>0</v>
      </c>
      <c r="FU126" t="s">
        <v>33</v>
      </c>
      <c r="FX126">
        <v>142</v>
      </c>
      <c r="FY126">
        <v>80.75</v>
      </c>
      <c r="GA126" t="s">
        <v>3</v>
      </c>
      <c r="GD126">
        <v>1</v>
      </c>
      <c r="GF126">
        <v>256039489</v>
      </c>
      <c r="GG126">
        <v>2</v>
      </c>
      <c r="GH126">
        <v>0</v>
      </c>
      <c r="GI126">
        <v>0</v>
      </c>
      <c r="GJ126">
        <v>0</v>
      </c>
      <c r="GK126">
        <v>0</v>
      </c>
      <c r="GL126">
        <f t="shared" si="110"/>
        <v>0</v>
      </c>
      <c r="GM126">
        <f t="shared" si="111"/>
        <v>-29439</v>
      </c>
      <c r="GN126">
        <f t="shared" si="112"/>
        <v>-29439</v>
      </c>
      <c r="GO126">
        <f t="shared" si="113"/>
        <v>0</v>
      </c>
      <c r="GP126">
        <f t="shared" si="114"/>
        <v>0</v>
      </c>
      <c r="GR126">
        <v>0</v>
      </c>
      <c r="GS126">
        <v>0</v>
      </c>
      <c r="GT126">
        <v>0</v>
      </c>
      <c r="GU126" t="s">
        <v>3</v>
      </c>
      <c r="GV126">
        <f t="shared" si="115"/>
        <v>0</v>
      </c>
      <c r="GW126">
        <v>1</v>
      </c>
      <c r="GX126">
        <f t="shared" si="116"/>
        <v>0</v>
      </c>
      <c r="HA126">
        <v>0</v>
      </c>
      <c r="HB126">
        <v>0</v>
      </c>
      <c r="HC126">
        <f t="shared" si="117"/>
        <v>0</v>
      </c>
      <c r="IK126">
        <v>0</v>
      </c>
    </row>
    <row r="127" spans="1:245" x14ac:dyDescent="0.2">
      <c r="A127">
        <v>18</v>
      </c>
      <c r="B127">
        <v>1</v>
      </c>
      <c r="C127">
        <v>89</v>
      </c>
      <c r="E127" t="s">
        <v>202</v>
      </c>
      <c r="F127" t="s">
        <v>193</v>
      </c>
      <c r="G127" t="s">
        <v>194</v>
      </c>
      <c r="H127" t="s">
        <v>190</v>
      </c>
      <c r="I127">
        <f>I125*J127</f>
        <v>69.727459999999994</v>
      </c>
      <c r="J127">
        <v>24.2</v>
      </c>
      <c r="O127">
        <f t="shared" si="83"/>
        <v>30994</v>
      </c>
      <c r="P127">
        <f t="shared" si="84"/>
        <v>30994</v>
      </c>
      <c r="Q127">
        <f t="shared" si="85"/>
        <v>0</v>
      </c>
      <c r="R127">
        <f t="shared" si="86"/>
        <v>0</v>
      </c>
      <c r="S127">
        <f t="shared" si="87"/>
        <v>0</v>
      </c>
      <c r="T127">
        <f t="shared" si="88"/>
        <v>0</v>
      </c>
      <c r="U127">
        <f t="shared" si="89"/>
        <v>0</v>
      </c>
      <c r="V127">
        <f t="shared" si="90"/>
        <v>0</v>
      </c>
      <c r="W127">
        <f t="shared" si="91"/>
        <v>0</v>
      </c>
      <c r="X127">
        <f t="shared" si="92"/>
        <v>0</v>
      </c>
      <c r="Y127">
        <f t="shared" si="93"/>
        <v>0</v>
      </c>
      <c r="AA127">
        <v>50210945</v>
      </c>
      <c r="AB127">
        <f t="shared" si="94"/>
        <v>444.5</v>
      </c>
      <c r="AC127">
        <f>ROUND((ES127),1)</f>
        <v>444.5</v>
      </c>
      <c r="AD127">
        <f>ROUND((((ET127)-(EU127))+AE127),1)</f>
        <v>0</v>
      </c>
      <c r="AE127">
        <f>ROUND((EU127),1)</f>
        <v>0</v>
      </c>
      <c r="AF127">
        <f>ROUND((EV127),1)</f>
        <v>0</v>
      </c>
      <c r="AG127">
        <f t="shared" si="96"/>
        <v>0</v>
      </c>
      <c r="AH127">
        <f>(EW127)</f>
        <v>0</v>
      </c>
      <c r="AI127">
        <f>(EX127)</f>
        <v>0</v>
      </c>
      <c r="AJ127">
        <f t="shared" si="97"/>
        <v>0</v>
      </c>
      <c r="AK127">
        <v>444.48</v>
      </c>
      <c r="AL127">
        <v>444.48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142</v>
      </c>
      <c r="AU127">
        <v>81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3</v>
      </c>
      <c r="BI127">
        <v>1</v>
      </c>
      <c r="BJ127" t="s">
        <v>195</v>
      </c>
      <c r="BM127">
        <v>27001</v>
      </c>
      <c r="BN127">
        <v>0</v>
      </c>
      <c r="BO127" t="s">
        <v>3</v>
      </c>
      <c r="BP127">
        <v>0</v>
      </c>
      <c r="BQ127">
        <v>2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142</v>
      </c>
      <c r="CA127">
        <v>95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98"/>
        <v>30994</v>
      </c>
      <c r="CQ127">
        <f t="shared" si="99"/>
        <v>444.5</v>
      </c>
      <c r="CR127">
        <f t="shared" si="100"/>
        <v>0</v>
      </c>
      <c r="CS127">
        <f t="shared" si="101"/>
        <v>0</v>
      </c>
      <c r="CT127">
        <f t="shared" si="102"/>
        <v>0</v>
      </c>
      <c r="CU127">
        <f t="shared" si="103"/>
        <v>0</v>
      </c>
      <c r="CV127">
        <f t="shared" si="104"/>
        <v>0</v>
      </c>
      <c r="CW127">
        <f t="shared" si="105"/>
        <v>0</v>
      </c>
      <c r="CX127">
        <f t="shared" si="106"/>
        <v>0</v>
      </c>
      <c r="CY127">
        <f t="shared" si="107"/>
        <v>0</v>
      </c>
      <c r="CZ127">
        <f t="shared" si="108"/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1009</v>
      </c>
      <c r="DV127" t="s">
        <v>190</v>
      </c>
      <c r="DW127" t="s">
        <v>190</v>
      </c>
      <c r="DX127">
        <v>1000</v>
      </c>
      <c r="EE127">
        <v>48752256</v>
      </c>
      <c r="EF127">
        <v>2</v>
      </c>
      <c r="EG127" t="s">
        <v>30</v>
      </c>
      <c r="EH127">
        <v>0</v>
      </c>
      <c r="EI127" t="s">
        <v>3</v>
      </c>
      <c r="EJ127">
        <v>1</v>
      </c>
      <c r="EK127">
        <v>27001</v>
      </c>
      <c r="EL127" t="s">
        <v>73</v>
      </c>
      <c r="EM127" t="s">
        <v>74</v>
      </c>
      <c r="EO127" t="s">
        <v>3</v>
      </c>
      <c r="EQ127">
        <v>0</v>
      </c>
      <c r="ER127">
        <v>444.48</v>
      </c>
      <c r="ES127">
        <v>444.48</v>
      </c>
      <c r="ET127">
        <v>0</v>
      </c>
      <c r="EU127">
        <v>0</v>
      </c>
      <c r="EV127">
        <v>0</v>
      </c>
      <c r="EW127">
        <v>0</v>
      </c>
      <c r="EX127">
        <v>0</v>
      </c>
      <c r="FQ127">
        <v>0</v>
      </c>
      <c r="FR127">
        <f t="shared" si="109"/>
        <v>0</v>
      </c>
      <c r="FS127">
        <v>0</v>
      </c>
      <c r="FU127" t="s">
        <v>33</v>
      </c>
      <c r="FX127">
        <v>142</v>
      </c>
      <c r="FY127">
        <v>80.75</v>
      </c>
      <c r="GA127" t="s">
        <v>3</v>
      </c>
      <c r="GD127">
        <v>1</v>
      </c>
      <c r="GF127">
        <v>-1313825229</v>
      </c>
      <c r="GG127">
        <v>2</v>
      </c>
      <c r="GH127">
        <v>0</v>
      </c>
      <c r="GI127">
        <v>0</v>
      </c>
      <c r="GJ127">
        <v>0</v>
      </c>
      <c r="GK127">
        <v>0</v>
      </c>
      <c r="GL127">
        <f t="shared" si="110"/>
        <v>0</v>
      </c>
      <c r="GM127">
        <f t="shared" si="111"/>
        <v>30994</v>
      </c>
      <c r="GN127">
        <f t="shared" si="112"/>
        <v>30994</v>
      </c>
      <c r="GO127">
        <f t="shared" si="113"/>
        <v>0</v>
      </c>
      <c r="GP127">
        <f t="shared" si="114"/>
        <v>0</v>
      </c>
      <c r="GR127">
        <v>0</v>
      </c>
      <c r="GS127">
        <v>0</v>
      </c>
      <c r="GT127">
        <v>0</v>
      </c>
      <c r="GU127" t="s">
        <v>3</v>
      </c>
      <c r="GV127">
        <f t="shared" si="115"/>
        <v>0</v>
      </c>
      <c r="GW127">
        <v>1</v>
      </c>
      <c r="GX127">
        <f t="shared" si="116"/>
        <v>0</v>
      </c>
      <c r="HA127">
        <v>0</v>
      </c>
      <c r="HB127">
        <v>0</v>
      </c>
      <c r="HC127">
        <f t="shared" si="117"/>
        <v>0</v>
      </c>
      <c r="IK127">
        <v>0</v>
      </c>
    </row>
    <row r="129" spans="1:206" x14ac:dyDescent="0.2">
      <c r="A129" s="2">
        <v>51</v>
      </c>
      <c r="B129" s="2">
        <f>B109</f>
        <v>1</v>
      </c>
      <c r="C129" s="2">
        <f>A109</f>
        <v>5</v>
      </c>
      <c r="D129" s="2">
        <f>ROW(A109)</f>
        <v>109</v>
      </c>
      <c r="E129" s="2"/>
      <c r="F129" s="2" t="str">
        <f>IF(F109&lt;&gt;"",F109,"")</f>
        <v>Новый подраздел</v>
      </c>
      <c r="G129" s="2" t="str">
        <f>IF(G109&lt;&gt;"",G109,"")</f>
        <v>Асфальт S=2881,3м2</v>
      </c>
      <c r="H129" s="2">
        <v>0</v>
      </c>
      <c r="I129" s="2"/>
      <c r="J129" s="2"/>
      <c r="K129" s="2"/>
      <c r="L129" s="2"/>
      <c r="M129" s="2"/>
      <c r="N129" s="2"/>
      <c r="O129" s="2">
        <f t="shared" ref="O129:T129" si="118">ROUND(AB129,0)</f>
        <v>342354</v>
      </c>
      <c r="P129" s="2">
        <f t="shared" si="118"/>
        <v>314008</v>
      </c>
      <c r="Q129" s="2">
        <f t="shared" si="118"/>
        <v>25968</v>
      </c>
      <c r="R129" s="2">
        <f t="shared" si="118"/>
        <v>2588</v>
      </c>
      <c r="S129" s="2">
        <f t="shared" si="118"/>
        <v>2378</v>
      </c>
      <c r="T129" s="2">
        <f t="shared" si="118"/>
        <v>0</v>
      </c>
      <c r="U129" s="2">
        <f>AH129</f>
        <v>312.87216480000001</v>
      </c>
      <c r="V129" s="2">
        <f>AI129</f>
        <v>193.30776000000003</v>
      </c>
      <c r="W129" s="2">
        <f>ROUND(AJ129,0)</f>
        <v>0</v>
      </c>
      <c r="X129" s="2">
        <f>ROUND(AK129,0)</f>
        <v>7050</v>
      </c>
      <c r="Y129" s="2">
        <f>ROUND(AL129,0)</f>
        <v>4022</v>
      </c>
      <c r="Z129" s="2"/>
      <c r="AA129" s="2"/>
      <c r="AB129" s="2">
        <f>ROUND(SUMIF(AA113:AA127,"=50210945",O113:O127),0)</f>
        <v>342354</v>
      </c>
      <c r="AC129" s="2">
        <f>ROUND(SUMIF(AA113:AA127,"=50210945",P113:P127),0)</f>
        <v>314008</v>
      </c>
      <c r="AD129" s="2">
        <f>ROUND(SUMIF(AA113:AA127,"=50210945",Q113:Q127),0)</f>
        <v>25968</v>
      </c>
      <c r="AE129" s="2">
        <f>ROUND(SUMIF(AA113:AA127,"=50210945",R113:R127),0)</f>
        <v>2588</v>
      </c>
      <c r="AF129" s="2">
        <f>ROUND(SUMIF(AA113:AA127,"=50210945",S113:S127),0)</f>
        <v>2378</v>
      </c>
      <c r="AG129" s="2">
        <f>ROUND(SUMIF(AA113:AA127,"=50210945",T113:T127),0)</f>
        <v>0</v>
      </c>
      <c r="AH129" s="2">
        <f>SUMIF(AA113:AA127,"=50210945",U113:U127)</f>
        <v>312.87216480000001</v>
      </c>
      <c r="AI129" s="2">
        <f>SUMIF(AA113:AA127,"=50210945",V113:V127)</f>
        <v>193.30776000000003</v>
      </c>
      <c r="AJ129" s="2">
        <f>ROUND(SUMIF(AA113:AA127,"=50210945",W113:W127),0)</f>
        <v>0</v>
      </c>
      <c r="AK129" s="2">
        <f>ROUND(SUMIF(AA113:AA127,"=50210945",X113:X127),0)</f>
        <v>7050</v>
      </c>
      <c r="AL129" s="2">
        <f>ROUND(SUMIF(AA113:AA127,"=50210945",Y113:Y127),0)</f>
        <v>4022</v>
      </c>
      <c r="AM129" s="2"/>
      <c r="AN129" s="2"/>
      <c r="AO129" s="2">
        <f t="shared" ref="AO129:BD129" si="119">ROUND(BX129,0)</f>
        <v>0</v>
      </c>
      <c r="AP129" s="2">
        <f t="shared" si="119"/>
        <v>0</v>
      </c>
      <c r="AQ129" s="2">
        <f t="shared" si="119"/>
        <v>0</v>
      </c>
      <c r="AR129" s="2">
        <f t="shared" si="119"/>
        <v>353426</v>
      </c>
      <c r="AS129" s="2">
        <f t="shared" si="119"/>
        <v>353426</v>
      </c>
      <c r="AT129" s="2">
        <f t="shared" si="119"/>
        <v>0</v>
      </c>
      <c r="AU129" s="2">
        <f t="shared" si="119"/>
        <v>0</v>
      </c>
      <c r="AV129" s="2">
        <f t="shared" si="119"/>
        <v>314008</v>
      </c>
      <c r="AW129" s="2">
        <f t="shared" si="119"/>
        <v>314008</v>
      </c>
      <c r="AX129" s="2">
        <f t="shared" si="119"/>
        <v>0</v>
      </c>
      <c r="AY129" s="2">
        <f t="shared" si="119"/>
        <v>314008</v>
      </c>
      <c r="AZ129" s="2">
        <f t="shared" si="119"/>
        <v>0</v>
      </c>
      <c r="BA129" s="2">
        <f t="shared" si="119"/>
        <v>0</v>
      </c>
      <c r="BB129" s="2">
        <f t="shared" si="119"/>
        <v>0</v>
      </c>
      <c r="BC129" s="2">
        <f t="shared" si="119"/>
        <v>0</v>
      </c>
      <c r="BD129" s="2">
        <f t="shared" si="119"/>
        <v>0</v>
      </c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>
        <f>ROUND(SUMIF(AA113:AA127,"=50210945",FQ113:FQ127),0)</f>
        <v>0</v>
      </c>
      <c r="BY129" s="2">
        <f>ROUND(SUMIF(AA113:AA127,"=50210945",FR113:FR127),0)</f>
        <v>0</v>
      </c>
      <c r="BZ129" s="2">
        <f>ROUND(SUMIF(AA113:AA127,"=50210945",GL113:GL127),0)</f>
        <v>0</v>
      </c>
      <c r="CA129" s="2">
        <f>ROUND(SUMIF(AA113:AA127,"=50210945",GM113:GM127),0)</f>
        <v>353426</v>
      </c>
      <c r="CB129" s="2">
        <f>ROUND(SUMIF(AA113:AA127,"=50210945",GN113:GN127),0)</f>
        <v>353426</v>
      </c>
      <c r="CC129" s="2">
        <f>ROUND(SUMIF(AA113:AA127,"=50210945",GO113:GO127),0)</f>
        <v>0</v>
      </c>
      <c r="CD129" s="2">
        <f>ROUND(SUMIF(AA113:AA127,"=50210945",GP113:GP127),0)</f>
        <v>0</v>
      </c>
      <c r="CE129" s="2">
        <f>AC129-BX129</f>
        <v>314008</v>
      </c>
      <c r="CF129" s="2">
        <f>AC129-BY129</f>
        <v>314008</v>
      </c>
      <c r="CG129" s="2">
        <f>BX129-BZ129</f>
        <v>0</v>
      </c>
      <c r="CH129" s="2">
        <f>AC129-BX129-BY129+BZ129</f>
        <v>314008</v>
      </c>
      <c r="CI129" s="2">
        <f>BY129-BZ129</f>
        <v>0</v>
      </c>
      <c r="CJ129" s="2">
        <f>ROUND(SUMIF(AA113:AA127,"=50210945",GX113:GX127),0)</f>
        <v>0</v>
      </c>
      <c r="CK129" s="2">
        <f>ROUND(SUMIF(AA113:AA127,"=50210945",GY113:GY127),0)</f>
        <v>0</v>
      </c>
      <c r="CL129" s="2">
        <f>ROUND(SUMIF(AA113:AA127,"=50210945",GZ113:GZ127),0)</f>
        <v>0</v>
      </c>
      <c r="CM129" s="2">
        <f>ROUND(SUMIF(AA113:AA127,"=50210945",HD113:HD127),0)</f>
        <v>0</v>
      </c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>
        <v>0</v>
      </c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201</v>
      </c>
      <c r="F131" s="4">
        <f>ROUND(Source!O129,O131)</f>
        <v>342354</v>
      </c>
      <c r="G131" s="4" t="s">
        <v>89</v>
      </c>
      <c r="H131" s="4" t="s">
        <v>90</v>
      </c>
      <c r="I131" s="4"/>
      <c r="J131" s="4"/>
      <c r="K131" s="4">
        <v>201</v>
      </c>
      <c r="L131" s="4">
        <v>1</v>
      </c>
      <c r="M131" s="4">
        <v>3</v>
      </c>
      <c r="N131" s="4" t="s">
        <v>3</v>
      </c>
      <c r="O131" s="4">
        <v>0</v>
      </c>
      <c r="P131" s="4"/>
      <c r="Q131" s="4"/>
      <c r="R131" s="4"/>
      <c r="S131" s="4"/>
      <c r="T131" s="4"/>
      <c r="U131" s="4"/>
      <c r="V131" s="4"/>
      <c r="W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202</v>
      </c>
      <c r="F132" s="4">
        <f>ROUND(Source!P129,O132)</f>
        <v>314008</v>
      </c>
      <c r="G132" s="4" t="s">
        <v>91</v>
      </c>
      <c r="H132" s="4" t="s">
        <v>92</v>
      </c>
      <c r="I132" s="4"/>
      <c r="J132" s="4"/>
      <c r="K132" s="4">
        <v>202</v>
      </c>
      <c r="L132" s="4">
        <v>2</v>
      </c>
      <c r="M132" s="4">
        <v>3</v>
      </c>
      <c r="N132" s="4" t="s">
        <v>3</v>
      </c>
      <c r="O132" s="4">
        <v>0</v>
      </c>
      <c r="P132" s="4"/>
      <c r="Q132" s="4"/>
      <c r="R132" s="4"/>
      <c r="S132" s="4"/>
      <c r="T132" s="4"/>
      <c r="U132" s="4"/>
      <c r="V132" s="4"/>
      <c r="W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222</v>
      </c>
      <c r="F133" s="4">
        <f>ROUND(Source!AO129,O133)</f>
        <v>0</v>
      </c>
      <c r="G133" s="4" t="s">
        <v>93</v>
      </c>
      <c r="H133" s="4" t="s">
        <v>94</v>
      </c>
      <c r="I133" s="4"/>
      <c r="J133" s="4"/>
      <c r="K133" s="4">
        <v>222</v>
      </c>
      <c r="L133" s="4">
        <v>3</v>
      </c>
      <c r="M133" s="4">
        <v>3</v>
      </c>
      <c r="N133" s="4" t="s">
        <v>3</v>
      </c>
      <c r="O133" s="4">
        <v>0</v>
      </c>
      <c r="P133" s="4"/>
      <c r="Q133" s="4"/>
      <c r="R133" s="4"/>
      <c r="S133" s="4"/>
      <c r="T133" s="4"/>
      <c r="U133" s="4"/>
      <c r="V133" s="4"/>
      <c r="W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225</v>
      </c>
      <c r="F134" s="4">
        <f>ROUND(Source!AV129,O134)</f>
        <v>314008</v>
      </c>
      <c r="G134" s="4" t="s">
        <v>95</v>
      </c>
      <c r="H134" s="4" t="s">
        <v>96</v>
      </c>
      <c r="I134" s="4"/>
      <c r="J134" s="4"/>
      <c r="K134" s="4">
        <v>225</v>
      </c>
      <c r="L134" s="4">
        <v>4</v>
      </c>
      <c r="M134" s="4">
        <v>3</v>
      </c>
      <c r="N134" s="4" t="s">
        <v>3</v>
      </c>
      <c r="O134" s="4">
        <v>0</v>
      </c>
      <c r="P134" s="4"/>
      <c r="Q134" s="4"/>
      <c r="R134" s="4"/>
      <c r="S134" s="4"/>
      <c r="T134" s="4"/>
      <c r="U134" s="4"/>
      <c r="V134" s="4"/>
      <c r="W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226</v>
      </c>
      <c r="F135" s="4">
        <f>ROUND(Source!AW129,O135)</f>
        <v>314008</v>
      </c>
      <c r="G135" s="4" t="s">
        <v>97</v>
      </c>
      <c r="H135" s="4" t="s">
        <v>98</v>
      </c>
      <c r="I135" s="4"/>
      <c r="J135" s="4"/>
      <c r="K135" s="4">
        <v>226</v>
      </c>
      <c r="L135" s="4">
        <v>5</v>
      </c>
      <c r="M135" s="4">
        <v>3</v>
      </c>
      <c r="N135" s="4" t="s">
        <v>3</v>
      </c>
      <c r="O135" s="4">
        <v>0</v>
      </c>
      <c r="P135" s="4"/>
      <c r="Q135" s="4"/>
      <c r="R135" s="4"/>
      <c r="S135" s="4"/>
      <c r="T135" s="4"/>
      <c r="U135" s="4"/>
      <c r="V135" s="4"/>
      <c r="W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227</v>
      </c>
      <c r="F136" s="4">
        <f>ROUND(Source!AX129,O136)</f>
        <v>0</v>
      </c>
      <c r="G136" s="4" t="s">
        <v>99</v>
      </c>
      <c r="H136" s="4" t="s">
        <v>100</v>
      </c>
      <c r="I136" s="4"/>
      <c r="J136" s="4"/>
      <c r="K136" s="4">
        <v>227</v>
      </c>
      <c r="L136" s="4">
        <v>6</v>
      </c>
      <c r="M136" s="4">
        <v>3</v>
      </c>
      <c r="N136" s="4" t="s">
        <v>3</v>
      </c>
      <c r="O136" s="4">
        <v>0</v>
      </c>
      <c r="P136" s="4"/>
      <c r="Q136" s="4"/>
      <c r="R136" s="4"/>
      <c r="S136" s="4"/>
      <c r="T136" s="4"/>
      <c r="U136" s="4"/>
      <c r="V136" s="4"/>
      <c r="W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228</v>
      </c>
      <c r="F137" s="4">
        <f>ROUND(Source!AY129,O137)</f>
        <v>314008</v>
      </c>
      <c r="G137" s="4" t="s">
        <v>101</v>
      </c>
      <c r="H137" s="4" t="s">
        <v>102</v>
      </c>
      <c r="I137" s="4"/>
      <c r="J137" s="4"/>
      <c r="K137" s="4">
        <v>228</v>
      </c>
      <c r="L137" s="4">
        <v>7</v>
      </c>
      <c r="M137" s="4">
        <v>3</v>
      </c>
      <c r="N137" s="4" t="s">
        <v>3</v>
      </c>
      <c r="O137" s="4">
        <v>0</v>
      </c>
      <c r="P137" s="4"/>
      <c r="Q137" s="4"/>
      <c r="R137" s="4"/>
      <c r="S137" s="4"/>
      <c r="T137" s="4"/>
      <c r="U137" s="4"/>
      <c r="V137" s="4"/>
      <c r="W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216</v>
      </c>
      <c r="F138" s="4">
        <f>ROUND(Source!AP129,O138)</f>
        <v>0</v>
      </c>
      <c r="G138" s="4" t="s">
        <v>103</v>
      </c>
      <c r="H138" s="4" t="s">
        <v>104</v>
      </c>
      <c r="I138" s="4"/>
      <c r="J138" s="4"/>
      <c r="K138" s="4">
        <v>216</v>
      </c>
      <c r="L138" s="4">
        <v>8</v>
      </c>
      <c r="M138" s="4">
        <v>3</v>
      </c>
      <c r="N138" s="4" t="s">
        <v>3</v>
      </c>
      <c r="O138" s="4">
        <v>0</v>
      </c>
      <c r="P138" s="4"/>
      <c r="Q138" s="4"/>
      <c r="R138" s="4"/>
      <c r="S138" s="4"/>
      <c r="T138" s="4"/>
      <c r="U138" s="4"/>
      <c r="V138" s="4"/>
      <c r="W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223</v>
      </c>
      <c r="F139" s="4">
        <f>ROUND(Source!AQ129,O139)</f>
        <v>0</v>
      </c>
      <c r="G139" s="4" t="s">
        <v>105</v>
      </c>
      <c r="H139" s="4" t="s">
        <v>106</v>
      </c>
      <c r="I139" s="4"/>
      <c r="J139" s="4"/>
      <c r="K139" s="4">
        <v>223</v>
      </c>
      <c r="L139" s="4">
        <v>9</v>
      </c>
      <c r="M139" s="4">
        <v>3</v>
      </c>
      <c r="N139" s="4" t="s">
        <v>3</v>
      </c>
      <c r="O139" s="4">
        <v>0</v>
      </c>
      <c r="P139" s="4"/>
      <c r="Q139" s="4"/>
      <c r="R139" s="4"/>
      <c r="S139" s="4"/>
      <c r="T139" s="4"/>
      <c r="U139" s="4"/>
      <c r="V139" s="4"/>
      <c r="W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229</v>
      </c>
      <c r="F140" s="4">
        <f>ROUND(Source!AZ129,O140)</f>
        <v>0</v>
      </c>
      <c r="G140" s="4" t="s">
        <v>107</v>
      </c>
      <c r="H140" s="4" t="s">
        <v>108</v>
      </c>
      <c r="I140" s="4"/>
      <c r="J140" s="4"/>
      <c r="K140" s="4">
        <v>229</v>
      </c>
      <c r="L140" s="4">
        <v>10</v>
      </c>
      <c r="M140" s="4">
        <v>3</v>
      </c>
      <c r="N140" s="4" t="s">
        <v>3</v>
      </c>
      <c r="O140" s="4">
        <v>0</v>
      </c>
      <c r="P140" s="4"/>
      <c r="Q140" s="4"/>
      <c r="R140" s="4"/>
      <c r="S140" s="4"/>
      <c r="T140" s="4"/>
      <c r="U140" s="4"/>
      <c r="V140" s="4"/>
      <c r="W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203</v>
      </c>
      <c r="F141" s="4">
        <f>ROUND(Source!Q129,O141)</f>
        <v>25968</v>
      </c>
      <c r="G141" s="4" t="s">
        <v>109</v>
      </c>
      <c r="H141" s="4" t="s">
        <v>110</v>
      </c>
      <c r="I141" s="4"/>
      <c r="J141" s="4"/>
      <c r="K141" s="4">
        <v>203</v>
      </c>
      <c r="L141" s="4">
        <v>11</v>
      </c>
      <c r="M141" s="4">
        <v>3</v>
      </c>
      <c r="N141" s="4" t="s">
        <v>3</v>
      </c>
      <c r="O141" s="4">
        <v>0</v>
      </c>
      <c r="P141" s="4"/>
      <c r="Q141" s="4"/>
      <c r="R141" s="4"/>
      <c r="S141" s="4"/>
      <c r="T141" s="4"/>
      <c r="U141" s="4"/>
      <c r="V141" s="4"/>
      <c r="W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231</v>
      </c>
      <c r="F142" s="4">
        <f>ROUND(Source!BB129,O142)</f>
        <v>0</v>
      </c>
      <c r="G142" s="4" t="s">
        <v>111</v>
      </c>
      <c r="H142" s="4" t="s">
        <v>112</v>
      </c>
      <c r="I142" s="4"/>
      <c r="J142" s="4"/>
      <c r="K142" s="4">
        <v>231</v>
      </c>
      <c r="L142" s="4">
        <v>12</v>
      </c>
      <c r="M142" s="4">
        <v>3</v>
      </c>
      <c r="N142" s="4" t="s">
        <v>3</v>
      </c>
      <c r="O142" s="4">
        <v>0</v>
      </c>
      <c r="P142" s="4"/>
      <c r="Q142" s="4"/>
      <c r="R142" s="4"/>
      <c r="S142" s="4"/>
      <c r="T142" s="4"/>
      <c r="U142" s="4"/>
      <c r="V142" s="4"/>
      <c r="W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204</v>
      </c>
      <c r="F143" s="4">
        <f>ROUND(Source!R129,O143)</f>
        <v>2588</v>
      </c>
      <c r="G143" s="4" t="s">
        <v>113</v>
      </c>
      <c r="H143" s="4" t="s">
        <v>114</v>
      </c>
      <c r="I143" s="4"/>
      <c r="J143" s="4"/>
      <c r="K143" s="4">
        <v>204</v>
      </c>
      <c r="L143" s="4">
        <v>13</v>
      </c>
      <c r="M143" s="4">
        <v>3</v>
      </c>
      <c r="N143" s="4" t="s">
        <v>3</v>
      </c>
      <c r="O143" s="4">
        <v>0</v>
      </c>
      <c r="P143" s="4"/>
      <c r="Q143" s="4"/>
      <c r="R143" s="4"/>
      <c r="S143" s="4"/>
      <c r="T143" s="4"/>
      <c r="U143" s="4"/>
      <c r="V143" s="4"/>
      <c r="W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205</v>
      </c>
      <c r="F144" s="4">
        <f>ROUND(Source!S129,O144)</f>
        <v>2378</v>
      </c>
      <c r="G144" s="4" t="s">
        <v>115</v>
      </c>
      <c r="H144" s="4" t="s">
        <v>116</v>
      </c>
      <c r="I144" s="4"/>
      <c r="J144" s="4"/>
      <c r="K144" s="4">
        <v>205</v>
      </c>
      <c r="L144" s="4">
        <v>14</v>
      </c>
      <c r="M144" s="4">
        <v>3</v>
      </c>
      <c r="N144" s="4" t="s">
        <v>3</v>
      </c>
      <c r="O144" s="4">
        <v>0</v>
      </c>
      <c r="P144" s="4"/>
      <c r="Q144" s="4"/>
      <c r="R144" s="4"/>
      <c r="S144" s="4"/>
      <c r="T144" s="4"/>
      <c r="U144" s="4"/>
      <c r="V144" s="4"/>
      <c r="W144" s="4"/>
    </row>
    <row r="145" spans="1:88" x14ac:dyDescent="0.2">
      <c r="A145" s="4">
        <v>50</v>
      </c>
      <c r="B145" s="4">
        <v>0</v>
      </c>
      <c r="C145" s="4">
        <v>0</v>
      </c>
      <c r="D145" s="4">
        <v>1</v>
      </c>
      <c r="E145" s="4">
        <v>232</v>
      </c>
      <c r="F145" s="4">
        <f>ROUND(Source!BC129,O145)</f>
        <v>0</v>
      </c>
      <c r="G145" s="4" t="s">
        <v>117</v>
      </c>
      <c r="H145" s="4" t="s">
        <v>118</v>
      </c>
      <c r="I145" s="4"/>
      <c r="J145" s="4"/>
      <c r="K145" s="4">
        <v>232</v>
      </c>
      <c r="L145" s="4">
        <v>15</v>
      </c>
      <c r="M145" s="4">
        <v>3</v>
      </c>
      <c r="N145" s="4" t="s">
        <v>3</v>
      </c>
      <c r="O145" s="4">
        <v>0</v>
      </c>
      <c r="P145" s="4"/>
      <c r="Q145" s="4"/>
      <c r="R145" s="4"/>
      <c r="S145" s="4"/>
      <c r="T145" s="4"/>
      <c r="U145" s="4"/>
      <c r="V145" s="4"/>
      <c r="W145" s="4"/>
    </row>
    <row r="146" spans="1:88" x14ac:dyDescent="0.2">
      <c r="A146" s="4">
        <v>50</v>
      </c>
      <c r="B146" s="4">
        <v>0</v>
      </c>
      <c r="C146" s="4">
        <v>0</v>
      </c>
      <c r="D146" s="4">
        <v>1</v>
      </c>
      <c r="E146" s="4">
        <v>214</v>
      </c>
      <c r="F146" s="4">
        <f>ROUND(Source!AS129,O146)</f>
        <v>353426</v>
      </c>
      <c r="G146" s="4" t="s">
        <v>119</v>
      </c>
      <c r="H146" s="4" t="s">
        <v>120</v>
      </c>
      <c r="I146" s="4"/>
      <c r="J146" s="4"/>
      <c r="K146" s="4">
        <v>214</v>
      </c>
      <c r="L146" s="4">
        <v>16</v>
      </c>
      <c r="M146" s="4">
        <v>3</v>
      </c>
      <c r="N146" s="4" t="s">
        <v>3</v>
      </c>
      <c r="O146" s="4">
        <v>0</v>
      </c>
      <c r="P146" s="4"/>
      <c r="Q146" s="4"/>
      <c r="R146" s="4"/>
      <c r="S146" s="4"/>
      <c r="T146" s="4"/>
      <c r="U146" s="4"/>
      <c r="V146" s="4"/>
      <c r="W146" s="4"/>
    </row>
    <row r="147" spans="1:88" x14ac:dyDescent="0.2">
      <c r="A147" s="4">
        <v>50</v>
      </c>
      <c r="B147" s="4">
        <v>0</v>
      </c>
      <c r="C147" s="4">
        <v>0</v>
      </c>
      <c r="D147" s="4">
        <v>1</v>
      </c>
      <c r="E147" s="4">
        <v>215</v>
      </c>
      <c r="F147" s="4">
        <f>ROUND(Source!AT129,O147)</f>
        <v>0</v>
      </c>
      <c r="G147" s="4" t="s">
        <v>121</v>
      </c>
      <c r="H147" s="4" t="s">
        <v>122</v>
      </c>
      <c r="I147" s="4"/>
      <c r="J147" s="4"/>
      <c r="K147" s="4">
        <v>215</v>
      </c>
      <c r="L147" s="4">
        <v>17</v>
      </c>
      <c r="M147" s="4">
        <v>3</v>
      </c>
      <c r="N147" s="4" t="s">
        <v>3</v>
      </c>
      <c r="O147" s="4">
        <v>0</v>
      </c>
      <c r="P147" s="4"/>
      <c r="Q147" s="4"/>
      <c r="R147" s="4"/>
      <c r="S147" s="4"/>
      <c r="T147" s="4"/>
      <c r="U147" s="4"/>
      <c r="V147" s="4"/>
      <c r="W147" s="4"/>
    </row>
    <row r="148" spans="1:88" x14ac:dyDescent="0.2">
      <c r="A148" s="4">
        <v>50</v>
      </c>
      <c r="B148" s="4">
        <v>0</v>
      </c>
      <c r="C148" s="4">
        <v>0</v>
      </c>
      <c r="D148" s="4">
        <v>1</v>
      </c>
      <c r="E148" s="4">
        <v>217</v>
      </c>
      <c r="F148" s="4">
        <f>ROUND(Source!AU129,O148)</f>
        <v>0</v>
      </c>
      <c r="G148" s="4" t="s">
        <v>123</v>
      </c>
      <c r="H148" s="4" t="s">
        <v>124</v>
      </c>
      <c r="I148" s="4"/>
      <c r="J148" s="4"/>
      <c r="K148" s="4">
        <v>217</v>
      </c>
      <c r="L148" s="4">
        <v>18</v>
      </c>
      <c r="M148" s="4">
        <v>3</v>
      </c>
      <c r="N148" s="4" t="s">
        <v>3</v>
      </c>
      <c r="O148" s="4">
        <v>0</v>
      </c>
      <c r="P148" s="4"/>
      <c r="Q148" s="4"/>
      <c r="R148" s="4"/>
      <c r="S148" s="4"/>
      <c r="T148" s="4"/>
      <c r="U148" s="4"/>
      <c r="V148" s="4"/>
      <c r="W148" s="4"/>
    </row>
    <row r="149" spans="1:88" x14ac:dyDescent="0.2">
      <c r="A149" s="4">
        <v>50</v>
      </c>
      <c r="B149" s="4">
        <v>0</v>
      </c>
      <c r="C149" s="4">
        <v>0</v>
      </c>
      <c r="D149" s="4">
        <v>1</v>
      </c>
      <c r="E149" s="4">
        <v>230</v>
      </c>
      <c r="F149" s="4">
        <f>ROUND(Source!BA129,O149)</f>
        <v>0</v>
      </c>
      <c r="G149" s="4" t="s">
        <v>125</v>
      </c>
      <c r="H149" s="4" t="s">
        <v>126</v>
      </c>
      <c r="I149" s="4"/>
      <c r="J149" s="4"/>
      <c r="K149" s="4">
        <v>230</v>
      </c>
      <c r="L149" s="4">
        <v>19</v>
      </c>
      <c r="M149" s="4">
        <v>3</v>
      </c>
      <c r="N149" s="4" t="s">
        <v>3</v>
      </c>
      <c r="O149" s="4">
        <v>0</v>
      </c>
      <c r="P149" s="4"/>
      <c r="Q149" s="4"/>
      <c r="R149" s="4"/>
      <c r="S149" s="4"/>
      <c r="T149" s="4"/>
      <c r="U149" s="4"/>
      <c r="V149" s="4"/>
      <c r="W149" s="4"/>
    </row>
    <row r="150" spans="1:88" x14ac:dyDescent="0.2">
      <c r="A150" s="4">
        <v>50</v>
      </c>
      <c r="B150" s="4">
        <v>0</v>
      </c>
      <c r="C150" s="4">
        <v>0</v>
      </c>
      <c r="D150" s="4">
        <v>1</v>
      </c>
      <c r="E150" s="4">
        <v>206</v>
      </c>
      <c r="F150" s="4">
        <f>ROUND(Source!T129,O150)</f>
        <v>0</v>
      </c>
      <c r="G150" s="4" t="s">
        <v>127</v>
      </c>
      <c r="H150" s="4" t="s">
        <v>128</v>
      </c>
      <c r="I150" s="4"/>
      <c r="J150" s="4"/>
      <c r="K150" s="4">
        <v>206</v>
      </c>
      <c r="L150" s="4">
        <v>20</v>
      </c>
      <c r="M150" s="4">
        <v>3</v>
      </c>
      <c r="N150" s="4" t="s">
        <v>3</v>
      </c>
      <c r="O150" s="4">
        <v>0</v>
      </c>
      <c r="P150" s="4"/>
      <c r="Q150" s="4"/>
      <c r="R150" s="4"/>
      <c r="S150" s="4"/>
      <c r="T150" s="4"/>
      <c r="U150" s="4"/>
      <c r="V150" s="4"/>
      <c r="W150" s="4"/>
    </row>
    <row r="151" spans="1:88" x14ac:dyDescent="0.2">
      <c r="A151" s="4">
        <v>50</v>
      </c>
      <c r="B151" s="4">
        <v>0</v>
      </c>
      <c r="C151" s="4">
        <v>0</v>
      </c>
      <c r="D151" s="4">
        <v>1</v>
      </c>
      <c r="E151" s="4">
        <v>207</v>
      </c>
      <c r="F151" s="4">
        <f>Source!U129</f>
        <v>312.87216480000001</v>
      </c>
      <c r="G151" s="4" t="s">
        <v>129</v>
      </c>
      <c r="H151" s="4" t="s">
        <v>130</v>
      </c>
      <c r="I151" s="4"/>
      <c r="J151" s="4"/>
      <c r="K151" s="4">
        <v>207</v>
      </c>
      <c r="L151" s="4">
        <v>21</v>
      </c>
      <c r="M151" s="4">
        <v>3</v>
      </c>
      <c r="N151" s="4" t="s">
        <v>3</v>
      </c>
      <c r="O151" s="4">
        <v>-1</v>
      </c>
      <c r="P151" s="4"/>
      <c r="Q151" s="4"/>
      <c r="R151" s="4"/>
      <c r="S151" s="4"/>
      <c r="T151" s="4"/>
      <c r="U151" s="4"/>
      <c r="V151" s="4"/>
      <c r="W151" s="4"/>
    </row>
    <row r="152" spans="1:88" x14ac:dyDescent="0.2">
      <c r="A152" s="4">
        <v>50</v>
      </c>
      <c r="B152" s="4">
        <v>0</v>
      </c>
      <c r="C152" s="4">
        <v>0</v>
      </c>
      <c r="D152" s="4">
        <v>1</v>
      </c>
      <c r="E152" s="4">
        <v>208</v>
      </c>
      <c r="F152" s="4">
        <f>Source!V129</f>
        <v>193.30776000000003</v>
      </c>
      <c r="G152" s="4" t="s">
        <v>131</v>
      </c>
      <c r="H152" s="4" t="s">
        <v>132</v>
      </c>
      <c r="I152" s="4"/>
      <c r="J152" s="4"/>
      <c r="K152" s="4">
        <v>208</v>
      </c>
      <c r="L152" s="4">
        <v>22</v>
      </c>
      <c r="M152" s="4">
        <v>3</v>
      </c>
      <c r="N152" s="4" t="s">
        <v>3</v>
      </c>
      <c r="O152" s="4">
        <v>-1</v>
      </c>
      <c r="P152" s="4"/>
      <c r="Q152" s="4"/>
      <c r="R152" s="4"/>
      <c r="S152" s="4"/>
      <c r="T152" s="4"/>
      <c r="U152" s="4"/>
      <c r="V152" s="4"/>
      <c r="W152" s="4"/>
    </row>
    <row r="153" spans="1:88" x14ac:dyDescent="0.2">
      <c r="A153" s="4">
        <v>50</v>
      </c>
      <c r="B153" s="4">
        <v>0</v>
      </c>
      <c r="C153" s="4">
        <v>0</v>
      </c>
      <c r="D153" s="4">
        <v>1</v>
      </c>
      <c r="E153" s="4">
        <v>209</v>
      </c>
      <c r="F153" s="4">
        <f>ROUND(Source!W129,O153)</f>
        <v>0</v>
      </c>
      <c r="G153" s="4" t="s">
        <v>133</v>
      </c>
      <c r="H153" s="4" t="s">
        <v>134</v>
      </c>
      <c r="I153" s="4"/>
      <c r="J153" s="4"/>
      <c r="K153" s="4">
        <v>209</v>
      </c>
      <c r="L153" s="4">
        <v>23</v>
      </c>
      <c r="M153" s="4">
        <v>3</v>
      </c>
      <c r="N153" s="4" t="s">
        <v>3</v>
      </c>
      <c r="O153" s="4">
        <v>0</v>
      </c>
      <c r="P153" s="4"/>
      <c r="Q153" s="4"/>
      <c r="R153" s="4"/>
      <c r="S153" s="4"/>
      <c r="T153" s="4"/>
      <c r="U153" s="4"/>
      <c r="V153" s="4"/>
      <c r="W153" s="4"/>
    </row>
    <row r="154" spans="1:88" x14ac:dyDescent="0.2">
      <c r="A154" s="4">
        <v>50</v>
      </c>
      <c r="B154" s="4">
        <v>0</v>
      </c>
      <c r="C154" s="4">
        <v>0</v>
      </c>
      <c r="D154" s="4">
        <v>1</v>
      </c>
      <c r="E154" s="4">
        <v>233</v>
      </c>
      <c r="F154" s="4">
        <f>ROUND(Source!BD129,O154)</f>
        <v>0</v>
      </c>
      <c r="G154" s="4" t="s">
        <v>135</v>
      </c>
      <c r="H154" s="4" t="s">
        <v>136</v>
      </c>
      <c r="I154" s="4"/>
      <c r="J154" s="4"/>
      <c r="K154" s="4">
        <v>233</v>
      </c>
      <c r="L154" s="4">
        <v>24</v>
      </c>
      <c r="M154" s="4">
        <v>3</v>
      </c>
      <c r="N154" s="4" t="s">
        <v>3</v>
      </c>
      <c r="O154" s="4">
        <v>0</v>
      </c>
      <c r="P154" s="4"/>
      <c r="Q154" s="4"/>
      <c r="R154" s="4"/>
      <c r="S154" s="4"/>
      <c r="T154" s="4"/>
      <c r="U154" s="4"/>
      <c r="V154" s="4"/>
      <c r="W154" s="4"/>
    </row>
    <row r="155" spans="1:88" x14ac:dyDescent="0.2">
      <c r="A155" s="4">
        <v>50</v>
      </c>
      <c r="B155" s="4">
        <v>0</v>
      </c>
      <c r="C155" s="4">
        <v>0</v>
      </c>
      <c r="D155" s="4">
        <v>1</v>
      </c>
      <c r="E155" s="4">
        <v>210</v>
      </c>
      <c r="F155" s="4">
        <f>ROUND(Source!X129,O155)</f>
        <v>7050</v>
      </c>
      <c r="G155" s="4" t="s">
        <v>137</v>
      </c>
      <c r="H155" s="4" t="s">
        <v>138</v>
      </c>
      <c r="I155" s="4"/>
      <c r="J155" s="4"/>
      <c r="K155" s="4">
        <v>210</v>
      </c>
      <c r="L155" s="4">
        <v>25</v>
      </c>
      <c r="M155" s="4">
        <v>3</v>
      </c>
      <c r="N155" s="4" t="s">
        <v>3</v>
      </c>
      <c r="O155" s="4">
        <v>0</v>
      </c>
      <c r="P155" s="4"/>
      <c r="Q155" s="4"/>
      <c r="R155" s="4"/>
      <c r="S155" s="4"/>
      <c r="T155" s="4"/>
      <c r="U155" s="4"/>
      <c r="V155" s="4"/>
      <c r="W155" s="4"/>
    </row>
    <row r="156" spans="1:88" x14ac:dyDescent="0.2">
      <c r="A156" s="4">
        <v>50</v>
      </c>
      <c r="B156" s="4">
        <v>0</v>
      </c>
      <c r="C156" s="4">
        <v>0</v>
      </c>
      <c r="D156" s="4">
        <v>1</v>
      </c>
      <c r="E156" s="4">
        <v>211</v>
      </c>
      <c r="F156" s="4">
        <f>ROUND(Source!Y129,O156)</f>
        <v>4022</v>
      </c>
      <c r="G156" s="4" t="s">
        <v>139</v>
      </c>
      <c r="H156" s="4" t="s">
        <v>140</v>
      </c>
      <c r="I156" s="4"/>
      <c r="J156" s="4"/>
      <c r="K156" s="4">
        <v>211</v>
      </c>
      <c r="L156" s="4">
        <v>26</v>
      </c>
      <c r="M156" s="4">
        <v>3</v>
      </c>
      <c r="N156" s="4" t="s">
        <v>3</v>
      </c>
      <c r="O156" s="4">
        <v>0</v>
      </c>
      <c r="P156" s="4"/>
      <c r="Q156" s="4"/>
      <c r="R156" s="4"/>
      <c r="S156" s="4"/>
      <c r="T156" s="4"/>
      <c r="U156" s="4"/>
      <c r="V156" s="4"/>
      <c r="W156" s="4"/>
    </row>
    <row r="157" spans="1:88" x14ac:dyDescent="0.2">
      <c r="A157" s="4">
        <v>50</v>
      </c>
      <c r="B157" s="4">
        <v>0</v>
      </c>
      <c r="C157" s="4">
        <v>0</v>
      </c>
      <c r="D157" s="4">
        <v>1</v>
      </c>
      <c r="E157" s="4">
        <v>224</v>
      </c>
      <c r="F157" s="4">
        <f>ROUND(Source!AR129,O157)</f>
        <v>353426</v>
      </c>
      <c r="G157" s="4" t="s">
        <v>141</v>
      </c>
      <c r="H157" s="4" t="s">
        <v>142</v>
      </c>
      <c r="I157" s="4"/>
      <c r="J157" s="4"/>
      <c r="K157" s="4">
        <v>224</v>
      </c>
      <c r="L157" s="4">
        <v>27</v>
      </c>
      <c r="M157" s="4">
        <v>3</v>
      </c>
      <c r="N157" s="4" t="s">
        <v>3</v>
      </c>
      <c r="O157" s="4">
        <v>0</v>
      </c>
      <c r="P157" s="4"/>
      <c r="Q157" s="4"/>
      <c r="R157" s="4"/>
      <c r="S157" s="4"/>
      <c r="T157" s="4"/>
      <c r="U157" s="4"/>
      <c r="V157" s="4"/>
      <c r="W157" s="4"/>
    </row>
    <row r="159" spans="1:88" x14ac:dyDescent="0.2">
      <c r="A159" s="1">
        <v>5</v>
      </c>
      <c r="B159" s="1">
        <v>1</v>
      </c>
      <c r="C159" s="1"/>
      <c r="D159" s="1">
        <f>ROW(A172)</f>
        <v>172</v>
      </c>
      <c r="E159" s="1"/>
      <c r="F159" s="1" t="s">
        <v>15</v>
      </c>
      <c r="G159" s="1" t="s">
        <v>203</v>
      </c>
      <c r="H159" s="1" t="s">
        <v>3</v>
      </c>
      <c r="I159" s="1">
        <v>0</v>
      </c>
      <c r="J159" s="1"/>
      <c r="K159" s="1">
        <v>-1</v>
      </c>
      <c r="L159" s="1"/>
      <c r="M159" s="1"/>
      <c r="N159" s="1"/>
      <c r="O159" s="1"/>
      <c r="P159" s="1"/>
      <c r="Q159" s="1"/>
      <c r="R159" s="1"/>
      <c r="S159" s="1"/>
      <c r="T159" s="1"/>
      <c r="U159" s="1" t="s">
        <v>3</v>
      </c>
      <c r="V159" s="1">
        <v>0</v>
      </c>
      <c r="W159" s="1"/>
      <c r="X159" s="1"/>
      <c r="Y159" s="1"/>
      <c r="Z159" s="1"/>
      <c r="AA159" s="1"/>
      <c r="AB159" s="1" t="s">
        <v>3</v>
      </c>
      <c r="AC159" s="1" t="s">
        <v>3</v>
      </c>
      <c r="AD159" s="1" t="s">
        <v>3</v>
      </c>
      <c r="AE159" s="1" t="s">
        <v>3</v>
      </c>
      <c r="AF159" s="1" t="s">
        <v>3</v>
      </c>
      <c r="AG159" s="1" t="s">
        <v>3</v>
      </c>
      <c r="AH159" s="1"/>
      <c r="AI159" s="1"/>
      <c r="AJ159" s="1"/>
      <c r="AK159" s="1"/>
      <c r="AL159" s="1"/>
      <c r="AM159" s="1"/>
      <c r="AN159" s="1"/>
      <c r="AO159" s="1"/>
      <c r="AP159" s="1" t="s">
        <v>3</v>
      </c>
      <c r="AQ159" s="1" t="s">
        <v>3</v>
      </c>
      <c r="AR159" s="1" t="s">
        <v>3</v>
      </c>
      <c r="AS159" s="1"/>
      <c r="AT159" s="1"/>
      <c r="AU159" s="1"/>
      <c r="AV159" s="1"/>
      <c r="AW159" s="1"/>
      <c r="AX159" s="1"/>
      <c r="AY159" s="1"/>
      <c r="AZ159" s="1" t="s">
        <v>3</v>
      </c>
      <c r="BA159" s="1"/>
      <c r="BB159" s="1" t="s">
        <v>3</v>
      </c>
      <c r="BC159" s="1" t="s">
        <v>3</v>
      </c>
      <c r="BD159" s="1" t="s">
        <v>11</v>
      </c>
      <c r="BE159" s="1" t="s">
        <v>11</v>
      </c>
      <c r="BF159" s="1" t="s">
        <v>12</v>
      </c>
      <c r="BG159" s="1" t="s">
        <v>3</v>
      </c>
      <c r="BH159" s="1" t="s">
        <v>12</v>
      </c>
      <c r="BI159" s="1" t="s">
        <v>11</v>
      </c>
      <c r="BJ159" s="1" t="s">
        <v>3</v>
      </c>
      <c r="BK159" s="1" t="s">
        <v>3</v>
      </c>
      <c r="BL159" s="1" t="s">
        <v>3</v>
      </c>
      <c r="BM159" s="1" t="s">
        <v>3</v>
      </c>
      <c r="BN159" s="1" t="s">
        <v>11</v>
      </c>
      <c r="BO159" s="1" t="s">
        <v>3</v>
      </c>
      <c r="BP159" s="1" t="s">
        <v>3</v>
      </c>
      <c r="BQ159" s="1"/>
      <c r="BR159" s="1"/>
      <c r="BS159" s="1"/>
      <c r="BT159" s="1"/>
      <c r="BU159" s="1"/>
      <c r="BV159" s="1"/>
      <c r="BW159" s="1"/>
      <c r="BX159" s="1">
        <v>0</v>
      </c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>
        <v>0</v>
      </c>
    </row>
    <row r="161" spans="1:245" x14ac:dyDescent="0.2">
      <c r="A161" s="2">
        <v>52</v>
      </c>
      <c r="B161" s="2">
        <f t="shared" ref="B161:G161" si="120">B172</f>
        <v>1</v>
      </c>
      <c r="C161" s="2">
        <f t="shared" si="120"/>
        <v>5</v>
      </c>
      <c r="D161" s="2">
        <f t="shared" si="120"/>
        <v>159</v>
      </c>
      <c r="E161" s="2">
        <f t="shared" si="120"/>
        <v>0</v>
      </c>
      <c r="F161" s="2" t="str">
        <f t="shared" si="120"/>
        <v>Новый подраздел</v>
      </c>
      <c r="G161" s="2" t="str">
        <f t="shared" si="120"/>
        <v>Установка бортовых камней БК 100.30.15 - 431м</v>
      </c>
      <c r="H161" s="2"/>
      <c r="I161" s="2"/>
      <c r="J161" s="2"/>
      <c r="K161" s="2"/>
      <c r="L161" s="2"/>
      <c r="M161" s="2"/>
      <c r="N161" s="2"/>
      <c r="O161" s="2">
        <f t="shared" ref="O161:AT161" si="121">O172</f>
        <v>45574</v>
      </c>
      <c r="P161" s="2">
        <f t="shared" si="121"/>
        <v>41218</v>
      </c>
      <c r="Q161" s="2">
        <f t="shared" si="121"/>
        <v>1264</v>
      </c>
      <c r="R161" s="2">
        <f t="shared" si="121"/>
        <v>76</v>
      </c>
      <c r="S161" s="2">
        <f t="shared" si="121"/>
        <v>3092</v>
      </c>
      <c r="T161" s="2">
        <f t="shared" si="121"/>
        <v>0</v>
      </c>
      <c r="U161" s="2">
        <f t="shared" si="121"/>
        <v>455.84406559999991</v>
      </c>
      <c r="V161" s="2">
        <f t="shared" si="121"/>
        <v>5.6616999999999997</v>
      </c>
      <c r="W161" s="2">
        <f t="shared" si="121"/>
        <v>0</v>
      </c>
      <c r="X161" s="2">
        <f t="shared" si="121"/>
        <v>4198</v>
      </c>
      <c r="Y161" s="2">
        <f t="shared" si="121"/>
        <v>2358</v>
      </c>
      <c r="Z161" s="2">
        <f t="shared" si="121"/>
        <v>0</v>
      </c>
      <c r="AA161" s="2">
        <f t="shared" si="121"/>
        <v>0</v>
      </c>
      <c r="AB161" s="2">
        <f t="shared" si="121"/>
        <v>45574</v>
      </c>
      <c r="AC161" s="2">
        <f t="shared" si="121"/>
        <v>41218</v>
      </c>
      <c r="AD161" s="2">
        <f t="shared" si="121"/>
        <v>1264</v>
      </c>
      <c r="AE161" s="2">
        <f t="shared" si="121"/>
        <v>76</v>
      </c>
      <c r="AF161" s="2">
        <f t="shared" si="121"/>
        <v>3092</v>
      </c>
      <c r="AG161" s="2">
        <f t="shared" si="121"/>
        <v>0</v>
      </c>
      <c r="AH161" s="2">
        <f t="shared" si="121"/>
        <v>455.84406559999991</v>
      </c>
      <c r="AI161" s="2">
        <f t="shared" si="121"/>
        <v>5.6616999999999997</v>
      </c>
      <c r="AJ161" s="2">
        <f t="shared" si="121"/>
        <v>0</v>
      </c>
      <c r="AK161" s="2">
        <f t="shared" si="121"/>
        <v>4198</v>
      </c>
      <c r="AL161" s="2">
        <f t="shared" si="121"/>
        <v>2358</v>
      </c>
      <c r="AM161" s="2">
        <f t="shared" si="121"/>
        <v>0</v>
      </c>
      <c r="AN161" s="2">
        <f t="shared" si="121"/>
        <v>0</v>
      </c>
      <c r="AO161" s="2">
        <f t="shared" si="121"/>
        <v>0</v>
      </c>
      <c r="AP161" s="2">
        <f t="shared" si="121"/>
        <v>0</v>
      </c>
      <c r="AQ161" s="2">
        <f t="shared" si="121"/>
        <v>0</v>
      </c>
      <c r="AR161" s="2">
        <f t="shared" si="121"/>
        <v>52130</v>
      </c>
      <c r="AS161" s="2">
        <f t="shared" si="121"/>
        <v>52130</v>
      </c>
      <c r="AT161" s="2">
        <f t="shared" si="121"/>
        <v>0</v>
      </c>
      <c r="AU161" s="2">
        <f t="shared" ref="AU161:BZ161" si="122">AU172</f>
        <v>0</v>
      </c>
      <c r="AV161" s="2">
        <f t="shared" si="122"/>
        <v>41218</v>
      </c>
      <c r="AW161" s="2">
        <f t="shared" si="122"/>
        <v>41218</v>
      </c>
      <c r="AX161" s="2">
        <f t="shared" si="122"/>
        <v>0</v>
      </c>
      <c r="AY161" s="2">
        <f t="shared" si="122"/>
        <v>41218</v>
      </c>
      <c r="AZ161" s="2">
        <f t="shared" si="122"/>
        <v>0</v>
      </c>
      <c r="BA161" s="2">
        <f t="shared" si="122"/>
        <v>0</v>
      </c>
      <c r="BB161" s="2">
        <f t="shared" si="122"/>
        <v>0</v>
      </c>
      <c r="BC161" s="2">
        <f t="shared" si="122"/>
        <v>0</v>
      </c>
      <c r="BD161" s="2">
        <f t="shared" si="122"/>
        <v>512</v>
      </c>
      <c r="BE161" s="2">
        <f t="shared" si="122"/>
        <v>0</v>
      </c>
      <c r="BF161" s="2">
        <f t="shared" si="122"/>
        <v>0</v>
      </c>
      <c r="BG161" s="2">
        <f t="shared" si="122"/>
        <v>0</v>
      </c>
      <c r="BH161" s="2">
        <f t="shared" si="122"/>
        <v>0</v>
      </c>
      <c r="BI161" s="2">
        <f t="shared" si="122"/>
        <v>0</v>
      </c>
      <c r="BJ161" s="2">
        <f t="shared" si="122"/>
        <v>0</v>
      </c>
      <c r="BK161" s="2">
        <f t="shared" si="122"/>
        <v>0</v>
      </c>
      <c r="BL161" s="2">
        <f t="shared" si="122"/>
        <v>0</v>
      </c>
      <c r="BM161" s="2">
        <f t="shared" si="122"/>
        <v>0</v>
      </c>
      <c r="BN161" s="2">
        <f t="shared" si="122"/>
        <v>0</v>
      </c>
      <c r="BO161" s="2">
        <f t="shared" si="122"/>
        <v>0</v>
      </c>
      <c r="BP161" s="2">
        <f t="shared" si="122"/>
        <v>0</v>
      </c>
      <c r="BQ161" s="2">
        <f t="shared" si="122"/>
        <v>0</v>
      </c>
      <c r="BR161" s="2">
        <f t="shared" si="122"/>
        <v>0</v>
      </c>
      <c r="BS161" s="2">
        <f t="shared" si="122"/>
        <v>0</v>
      </c>
      <c r="BT161" s="2">
        <f t="shared" si="122"/>
        <v>0</v>
      </c>
      <c r="BU161" s="2">
        <f t="shared" si="122"/>
        <v>0</v>
      </c>
      <c r="BV161" s="2">
        <f t="shared" si="122"/>
        <v>0</v>
      </c>
      <c r="BW161" s="2">
        <f t="shared" si="122"/>
        <v>0</v>
      </c>
      <c r="BX161" s="2">
        <f t="shared" si="122"/>
        <v>0</v>
      </c>
      <c r="BY161" s="2">
        <f t="shared" si="122"/>
        <v>0</v>
      </c>
      <c r="BZ161" s="2">
        <f t="shared" si="122"/>
        <v>0</v>
      </c>
      <c r="CA161" s="2">
        <f t="shared" ref="CA161:DF161" si="123">CA172</f>
        <v>52130</v>
      </c>
      <c r="CB161" s="2">
        <f t="shared" si="123"/>
        <v>52130</v>
      </c>
      <c r="CC161" s="2">
        <f t="shared" si="123"/>
        <v>0</v>
      </c>
      <c r="CD161" s="2">
        <f t="shared" si="123"/>
        <v>0</v>
      </c>
      <c r="CE161" s="2">
        <f t="shared" si="123"/>
        <v>41218</v>
      </c>
      <c r="CF161" s="2">
        <f t="shared" si="123"/>
        <v>41218</v>
      </c>
      <c r="CG161" s="2">
        <f t="shared" si="123"/>
        <v>0</v>
      </c>
      <c r="CH161" s="2">
        <f t="shared" si="123"/>
        <v>41218</v>
      </c>
      <c r="CI161" s="2">
        <f t="shared" si="123"/>
        <v>0</v>
      </c>
      <c r="CJ161" s="2">
        <f t="shared" si="123"/>
        <v>0</v>
      </c>
      <c r="CK161" s="2">
        <f t="shared" si="123"/>
        <v>0</v>
      </c>
      <c r="CL161" s="2">
        <f t="shared" si="123"/>
        <v>0</v>
      </c>
      <c r="CM161" s="2">
        <f t="shared" si="123"/>
        <v>512</v>
      </c>
      <c r="CN161" s="2">
        <f t="shared" si="123"/>
        <v>0</v>
      </c>
      <c r="CO161" s="2">
        <f t="shared" si="123"/>
        <v>0</v>
      </c>
      <c r="CP161" s="2">
        <f t="shared" si="123"/>
        <v>0</v>
      </c>
      <c r="CQ161" s="2">
        <f t="shared" si="123"/>
        <v>0</v>
      </c>
      <c r="CR161" s="2">
        <f t="shared" si="123"/>
        <v>0</v>
      </c>
      <c r="CS161" s="2">
        <f t="shared" si="123"/>
        <v>0</v>
      </c>
      <c r="CT161" s="2">
        <f t="shared" si="123"/>
        <v>0</v>
      </c>
      <c r="CU161" s="2">
        <f t="shared" si="123"/>
        <v>0</v>
      </c>
      <c r="CV161" s="2">
        <f t="shared" si="123"/>
        <v>0</v>
      </c>
      <c r="CW161" s="2">
        <f t="shared" si="123"/>
        <v>0</v>
      </c>
      <c r="CX161" s="2">
        <f t="shared" si="123"/>
        <v>0</v>
      </c>
      <c r="CY161" s="2">
        <f t="shared" si="123"/>
        <v>0</v>
      </c>
      <c r="CZ161" s="2">
        <f t="shared" si="123"/>
        <v>0</v>
      </c>
      <c r="DA161" s="2">
        <f t="shared" si="123"/>
        <v>0</v>
      </c>
      <c r="DB161" s="2">
        <f t="shared" si="123"/>
        <v>0</v>
      </c>
      <c r="DC161" s="2">
        <f t="shared" si="123"/>
        <v>0</v>
      </c>
      <c r="DD161" s="2">
        <f t="shared" si="123"/>
        <v>0</v>
      </c>
      <c r="DE161" s="2">
        <f t="shared" si="123"/>
        <v>0</v>
      </c>
      <c r="DF161" s="2">
        <f t="shared" si="123"/>
        <v>0</v>
      </c>
      <c r="DG161" s="3">
        <f t="shared" ref="DG161:EL161" si="124">DG172</f>
        <v>0</v>
      </c>
      <c r="DH161" s="3">
        <f t="shared" si="124"/>
        <v>0</v>
      </c>
      <c r="DI161" s="3">
        <f t="shared" si="124"/>
        <v>0</v>
      </c>
      <c r="DJ161" s="3">
        <f t="shared" si="124"/>
        <v>0</v>
      </c>
      <c r="DK161" s="3">
        <f t="shared" si="124"/>
        <v>0</v>
      </c>
      <c r="DL161" s="3">
        <f t="shared" si="124"/>
        <v>0</v>
      </c>
      <c r="DM161" s="3">
        <f t="shared" si="124"/>
        <v>0</v>
      </c>
      <c r="DN161" s="3">
        <f t="shared" si="124"/>
        <v>0</v>
      </c>
      <c r="DO161" s="3">
        <f t="shared" si="124"/>
        <v>0</v>
      </c>
      <c r="DP161" s="3">
        <f t="shared" si="124"/>
        <v>0</v>
      </c>
      <c r="DQ161" s="3">
        <f t="shared" si="124"/>
        <v>0</v>
      </c>
      <c r="DR161" s="3">
        <f t="shared" si="124"/>
        <v>0</v>
      </c>
      <c r="DS161" s="3">
        <f t="shared" si="124"/>
        <v>0</v>
      </c>
      <c r="DT161" s="3">
        <f t="shared" si="124"/>
        <v>0</v>
      </c>
      <c r="DU161" s="3">
        <f t="shared" si="124"/>
        <v>0</v>
      </c>
      <c r="DV161" s="3">
        <f t="shared" si="124"/>
        <v>0</v>
      </c>
      <c r="DW161" s="3">
        <f t="shared" si="124"/>
        <v>0</v>
      </c>
      <c r="DX161" s="3">
        <f t="shared" si="124"/>
        <v>0</v>
      </c>
      <c r="DY161" s="3">
        <f t="shared" si="124"/>
        <v>0</v>
      </c>
      <c r="DZ161" s="3">
        <f t="shared" si="124"/>
        <v>0</v>
      </c>
      <c r="EA161" s="3">
        <f t="shared" si="124"/>
        <v>0</v>
      </c>
      <c r="EB161" s="3">
        <f t="shared" si="124"/>
        <v>0</v>
      </c>
      <c r="EC161" s="3">
        <f t="shared" si="124"/>
        <v>0</v>
      </c>
      <c r="ED161" s="3">
        <f t="shared" si="124"/>
        <v>0</v>
      </c>
      <c r="EE161" s="3">
        <f t="shared" si="124"/>
        <v>0</v>
      </c>
      <c r="EF161" s="3">
        <f t="shared" si="124"/>
        <v>0</v>
      </c>
      <c r="EG161" s="3">
        <f t="shared" si="124"/>
        <v>0</v>
      </c>
      <c r="EH161" s="3">
        <f t="shared" si="124"/>
        <v>0</v>
      </c>
      <c r="EI161" s="3">
        <f t="shared" si="124"/>
        <v>0</v>
      </c>
      <c r="EJ161" s="3">
        <f t="shared" si="124"/>
        <v>0</v>
      </c>
      <c r="EK161" s="3">
        <f t="shared" si="124"/>
        <v>0</v>
      </c>
      <c r="EL161" s="3">
        <f t="shared" si="124"/>
        <v>0</v>
      </c>
      <c r="EM161" s="3">
        <f t="shared" ref="EM161:FR161" si="125">EM172</f>
        <v>0</v>
      </c>
      <c r="EN161" s="3">
        <f t="shared" si="125"/>
        <v>0</v>
      </c>
      <c r="EO161" s="3">
        <f t="shared" si="125"/>
        <v>0</v>
      </c>
      <c r="EP161" s="3">
        <f t="shared" si="125"/>
        <v>0</v>
      </c>
      <c r="EQ161" s="3">
        <f t="shared" si="125"/>
        <v>0</v>
      </c>
      <c r="ER161" s="3">
        <f t="shared" si="125"/>
        <v>0</v>
      </c>
      <c r="ES161" s="3">
        <f t="shared" si="125"/>
        <v>0</v>
      </c>
      <c r="ET161" s="3">
        <f t="shared" si="125"/>
        <v>0</v>
      </c>
      <c r="EU161" s="3">
        <f t="shared" si="125"/>
        <v>0</v>
      </c>
      <c r="EV161" s="3">
        <f t="shared" si="125"/>
        <v>0</v>
      </c>
      <c r="EW161" s="3">
        <f t="shared" si="125"/>
        <v>0</v>
      </c>
      <c r="EX161" s="3">
        <f t="shared" si="125"/>
        <v>0</v>
      </c>
      <c r="EY161" s="3">
        <f t="shared" si="125"/>
        <v>0</v>
      </c>
      <c r="EZ161" s="3">
        <f t="shared" si="125"/>
        <v>0</v>
      </c>
      <c r="FA161" s="3">
        <f t="shared" si="125"/>
        <v>0</v>
      </c>
      <c r="FB161" s="3">
        <f t="shared" si="125"/>
        <v>0</v>
      </c>
      <c r="FC161" s="3">
        <f t="shared" si="125"/>
        <v>0</v>
      </c>
      <c r="FD161" s="3">
        <f t="shared" si="125"/>
        <v>0</v>
      </c>
      <c r="FE161" s="3">
        <f t="shared" si="125"/>
        <v>0</v>
      </c>
      <c r="FF161" s="3">
        <f t="shared" si="125"/>
        <v>0</v>
      </c>
      <c r="FG161" s="3">
        <f t="shared" si="125"/>
        <v>0</v>
      </c>
      <c r="FH161" s="3">
        <f t="shared" si="125"/>
        <v>0</v>
      </c>
      <c r="FI161" s="3">
        <f t="shared" si="125"/>
        <v>0</v>
      </c>
      <c r="FJ161" s="3">
        <f t="shared" si="125"/>
        <v>0</v>
      </c>
      <c r="FK161" s="3">
        <f t="shared" si="125"/>
        <v>0</v>
      </c>
      <c r="FL161" s="3">
        <f t="shared" si="125"/>
        <v>0</v>
      </c>
      <c r="FM161" s="3">
        <f t="shared" si="125"/>
        <v>0</v>
      </c>
      <c r="FN161" s="3">
        <f t="shared" si="125"/>
        <v>0</v>
      </c>
      <c r="FO161" s="3">
        <f t="shared" si="125"/>
        <v>0</v>
      </c>
      <c r="FP161" s="3">
        <f t="shared" si="125"/>
        <v>0</v>
      </c>
      <c r="FQ161" s="3">
        <f t="shared" si="125"/>
        <v>0</v>
      </c>
      <c r="FR161" s="3">
        <f t="shared" si="125"/>
        <v>0</v>
      </c>
      <c r="FS161" s="3">
        <f t="shared" ref="FS161:GX161" si="126">FS172</f>
        <v>0</v>
      </c>
      <c r="FT161" s="3">
        <f t="shared" si="126"/>
        <v>0</v>
      </c>
      <c r="FU161" s="3">
        <f t="shared" si="126"/>
        <v>0</v>
      </c>
      <c r="FV161" s="3">
        <f t="shared" si="126"/>
        <v>0</v>
      </c>
      <c r="FW161" s="3">
        <f t="shared" si="126"/>
        <v>0</v>
      </c>
      <c r="FX161" s="3">
        <f t="shared" si="126"/>
        <v>0</v>
      </c>
      <c r="FY161" s="3">
        <f t="shared" si="126"/>
        <v>0</v>
      </c>
      <c r="FZ161" s="3">
        <f t="shared" si="126"/>
        <v>0</v>
      </c>
      <c r="GA161" s="3">
        <f t="shared" si="126"/>
        <v>0</v>
      </c>
      <c r="GB161" s="3">
        <f t="shared" si="126"/>
        <v>0</v>
      </c>
      <c r="GC161" s="3">
        <f t="shared" si="126"/>
        <v>0</v>
      </c>
      <c r="GD161" s="3">
        <f t="shared" si="126"/>
        <v>0</v>
      </c>
      <c r="GE161" s="3">
        <f t="shared" si="126"/>
        <v>0</v>
      </c>
      <c r="GF161" s="3">
        <f t="shared" si="126"/>
        <v>0</v>
      </c>
      <c r="GG161" s="3">
        <f t="shared" si="126"/>
        <v>0</v>
      </c>
      <c r="GH161" s="3">
        <f t="shared" si="126"/>
        <v>0</v>
      </c>
      <c r="GI161" s="3">
        <f t="shared" si="126"/>
        <v>0</v>
      </c>
      <c r="GJ161" s="3">
        <f t="shared" si="126"/>
        <v>0</v>
      </c>
      <c r="GK161" s="3">
        <f t="shared" si="126"/>
        <v>0</v>
      </c>
      <c r="GL161" s="3">
        <f t="shared" si="126"/>
        <v>0</v>
      </c>
      <c r="GM161" s="3">
        <f t="shared" si="126"/>
        <v>0</v>
      </c>
      <c r="GN161" s="3">
        <f t="shared" si="126"/>
        <v>0</v>
      </c>
      <c r="GO161" s="3">
        <f t="shared" si="126"/>
        <v>0</v>
      </c>
      <c r="GP161" s="3">
        <f t="shared" si="126"/>
        <v>0</v>
      </c>
      <c r="GQ161" s="3">
        <f t="shared" si="126"/>
        <v>0</v>
      </c>
      <c r="GR161" s="3">
        <f t="shared" si="126"/>
        <v>0</v>
      </c>
      <c r="GS161" s="3">
        <f t="shared" si="126"/>
        <v>0</v>
      </c>
      <c r="GT161" s="3">
        <f t="shared" si="126"/>
        <v>0</v>
      </c>
      <c r="GU161" s="3">
        <f t="shared" si="126"/>
        <v>0</v>
      </c>
      <c r="GV161" s="3">
        <f t="shared" si="126"/>
        <v>0</v>
      </c>
      <c r="GW161" s="3">
        <f t="shared" si="126"/>
        <v>0</v>
      </c>
      <c r="GX161" s="3">
        <f t="shared" si="126"/>
        <v>0</v>
      </c>
    </row>
    <row r="163" spans="1:245" x14ac:dyDescent="0.2">
      <c r="A163">
        <v>17</v>
      </c>
      <c r="B163">
        <v>1</v>
      </c>
      <c r="C163">
        <f>ROW(SmtRes!A90)</f>
        <v>90</v>
      </c>
      <c r="D163">
        <f>ROW(EtalonRes!A89)</f>
        <v>89</v>
      </c>
      <c r="E163" t="s">
        <v>204</v>
      </c>
      <c r="F163" t="s">
        <v>205</v>
      </c>
      <c r="G163" t="s">
        <v>206</v>
      </c>
      <c r="H163" t="s">
        <v>207</v>
      </c>
      <c r="I163">
        <f>ROUND((I166*100*0.09)/100,4)</f>
        <v>0.38790000000000002</v>
      </c>
      <c r="J163">
        <v>0</v>
      </c>
      <c r="O163">
        <f t="shared" ref="O163:O170" si="127">ROUND(CP163,0)</f>
        <v>436</v>
      </c>
      <c r="P163">
        <f t="shared" ref="P163:P170" si="128">ROUND(CQ163*I163,0)</f>
        <v>0</v>
      </c>
      <c r="Q163">
        <f t="shared" ref="Q163:Q170" si="129">ROUND(CR163*I163,0)</f>
        <v>0</v>
      </c>
      <c r="R163">
        <f t="shared" ref="R163:R170" si="130">ROUND(CS163*I163,0)</f>
        <v>0</v>
      </c>
      <c r="S163">
        <f t="shared" ref="S163:S170" si="131">ROUND(CT163*I163,0)</f>
        <v>436</v>
      </c>
      <c r="T163">
        <f t="shared" ref="T163:T170" si="132">ROUND(CU163*I163,0)</f>
        <v>0</v>
      </c>
      <c r="U163">
        <f t="shared" ref="U163:U170" si="133">CV163*I163</f>
        <v>68.697090000000003</v>
      </c>
      <c r="V163">
        <f t="shared" ref="V163:V170" si="134">CW163*I163</f>
        <v>0</v>
      </c>
      <c r="W163">
        <f t="shared" ref="W163:W170" si="135">ROUND(CX163*I163,0)</f>
        <v>0</v>
      </c>
      <c r="X163">
        <f t="shared" ref="X163:Y170" si="136">ROUND(CY163,0)</f>
        <v>349</v>
      </c>
      <c r="Y163">
        <f t="shared" si="136"/>
        <v>166</v>
      </c>
      <c r="AA163">
        <v>50210945</v>
      </c>
      <c r="AB163">
        <f t="shared" ref="AB163:AB170" si="137">ROUND((AC163+AD163+AF163),1)</f>
        <v>1124.5999999999999</v>
      </c>
      <c r="AC163">
        <f t="shared" ref="AC163:AC170" si="138">ROUND((ES163),1)</f>
        <v>0</v>
      </c>
      <c r="AD163">
        <f>ROUND(((((ET163*1.25))-((EU163*1.25)))+AE163),1)</f>
        <v>0</v>
      </c>
      <c r="AE163">
        <f>ROUND(((EU163*1.25)),1)</f>
        <v>0</v>
      </c>
      <c r="AF163">
        <f>ROUND(((EV163*1.15)),1)</f>
        <v>1124.5999999999999</v>
      </c>
      <c r="AG163">
        <f t="shared" ref="AG163:AG170" si="139">ROUND((AP163),1)</f>
        <v>0</v>
      </c>
      <c r="AH163">
        <f>((EW163*1.15))</f>
        <v>177.1</v>
      </c>
      <c r="AI163">
        <f>((EX163*1.25))</f>
        <v>0</v>
      </c>
      <c r="AJ163">
        <f t="shared" ref="AJ163:AJ170" si="140">(AS163)</f>
        <v>0</v>
      </c>
      <c r="AK163">
        <v>977.9</v>
      </c>
      <c r="AL163">
        <v>0</v>
      </c>
      <c r="AM163">
        <v>0</v>
      </c>
      <c r="AN163">
        <v>0</v>
      </c>
      <c r="AO163">
        <v>977.9</v>
      </c>
      <c r="AP163">
        <v>0</v>
      </c>
      <c r="AQ163">
        <v>154</v>
      </c>
      <c r="AR163">
        <v>0</v>
      </c>
      <c r="AS163">
        <v>0</v>
      </c>
      <c r="AT163">
        <v>80</v>
      </c>
      <c r="AU163">
        <v>38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1</v>
      </c>
      <c r="BJ163" t="s">
        <v>208</v>
      </c>
      <c r="BM163">
        <v>1003</v>
      </c>
      <c r="BN163">
        <v>0</v>
      </c>
      <c r="BO163" t="s">
        <v>3</v>
      </c>
      <c r="BP163">
        <v>0</v>
      </c>
      <c r="BQ163">
        <v>2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80</v>
      </c>
      <c r="CA163">
        <v>45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ref="CP163:CP170" si="141">(P163+Q163+S163)</f>
        <v>436</v>
      </c>
      <c r="CQ163">
        <f t="shared" ref="CQ163:CQ170" si="142">AC163*BC163</f>
        <v>0</v>
      </c>
      <c r="CR163">
        <f t="shared" ref="CR163:CR170" si="143">AD163*BB163</f>
        <v>0</v>
      </c>
      <c r="CS163">
        <f t="shared" ref="CS163:CS170" si="144">AE163*BS163</f>
        <v>0</v>
      </c>
      <c r="CT163">
        <f t="shared" ref="CT163:CT170" si="145">AF163*BA163</f>
        <v>1124.5999999999999</v>
      </c>
      <c r="CU163">
        <f t="shared" ref="CU163:CX170" si="146">AG163</f>
        <v>0</v>
      </c>
      <c r="CV163">
        <f t="shared" si="146"/>
        <v>177.1</v>
      </c>
      <c r="CW163">
        <f t="shared" si="146"/>
        <v>0</v>
      </c>
      <c r="CX163">
        <f t="shared" si="146"/>
        <v>0</v>
      </c>
      <c r="CY163">
        <f t="shared" ref="CY163:CY170" si="147">(((S163+R163)*AT163)/100)</f>
        <v>348.8</v>
      </c>
      <c r="CZ163">
        <f t="shared" ref="CZ163:CZ170" si="148">(((S163+R163)*AU163)/100)</f>
        <v>165.68</v>
      </c>
      <c r="DC163" t="s">
        <v>3</v>
      </c>
      <c r="DD163" t="s">
        <v>3</v>
      </c>
      <c r="DE163" t="s">
        <v>11</v>
      </c>
      <c r="DF163" t="s">
        <v>11</v>
      </c>
      <c r="DG163" t="s">
        <v>12</v>
      </c>
      <c r="DH163" t="s">
        <v>3</v>
      </c>
      <c r="DI163" t="s">
        <v>12</v>
      </c>
      <c r="DJ163" t="s">
        <v>11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1013</v>
      </c>
      <c r="DV163" t="s">
        <v>207</v>
      </c>
      <c r="DW163" t="s">
        <v>207</v>
      </c>
      <c r="DX163">
        <v>1</v>
      </c>
      <c r="EE163">
        <v>48752191</v>
      </c>
      <c r="EF163">
        <v>2</v>
      </c>
      <c r="EG163" t="s">
        <v>30</v>
      </c>
      <c r="EH163">
        <v>0</v>
      </c>
      <c r="EI163" t="s">
        <v>3</v>
      </c>
      <c r="EJ163">
        <v>1</v>
      </c>
      <c r="EK163">
        <v>1003</v>
      </c>
      <c r="EL163" t="s">
        <v>209</v>
      </c>
      <c r="EM163" t="s">
        <v>32</v>
      </c>
      <c r="EO163" t="s">
        <v>3</v>
      </c>
      <c r="EQ163">
        <v>131072</v>
      </c>
      <c r="ER163">
        <v>977.9</v>
      </c>
      <c r="ES163">
        <v>0</v>
      </c>
      <c r="ET163">
        <v>0</v>
      </c>
      <c r="EU163">
        <v>0</v>
      </c>
      <c r="EV163">
        <v>977.9</v>
      </c>
      <c r="EW163">
        <v>154</v>
      </c>
      <c r="EX163">
        <v>0</v>
      </c>
      <c r="EY163">
        <v>0</v>
      </c>
      <c r="FQ163">
        <v>0</v>
      </c>
      <c r="FR163">
        <f t="shared" ref="FR163:FR170" si="149">ROUND(IF(AND(BH163=3,BI163=3),P163,0),0)</f>
        <v>0</v>
      </c>
      <c r="FS163">
        <v>0</v>
      </c>
      <c r="FU163" t="s">
        <v>33</v>
      </c>
      <c r="FX163">
        <v>80</v>
      </c>
      <c r="FY163">
        <v>38.25</v>
      </c>
      <c r="GA163" t="s">
        <v>3</v>
      </c>
      <c r="GD163">
        <v>1</v>
      </c>
      <c r="GF163">
        <v>-584945989</v>
      </c>
      <c r="GG163">
        <v>2</v>
      </c>
      <c r="GH163">
        <v>0</v>
      </c>
      <c r="GI163">
        <v>0</v>
      </c>
      <c r="GJ163">
        <v>0</v>
      </c>
      <c r="GK163">
        <v>0</v>
      </c>
      <c r="GL163">
        <f t="shared" ref="GL163:GL170" si="150">ROUND(IF(AND(BH163=3,BI163=3,FS163&lt;&gt;0),P163,0),0)</f>
        <v>0</v>
      </c>
      <c r="GM163">
        <f t="shared" ref="GM163:GM170" si="151">ROUND(O163+X163+Y163,0)+GX163</f>
        <v>951</v>
      </c>
      <c r="GN163">
        <f t="shared" ref="GN163:GN170" si="152">IF(OR(BI163=0,BI163=1),ROUND(O163+X163+Y163,0),0)</f>
        <v>951</v>
      </c>
      <c r="GO163">
        <f t="shared" ref="GO163:GO170" si="153">IF(BI163=2,ROUND(O163+X163+Y163,0),0)</f>
        <v>0</v>
      </c>
      <c r="GP163">
        <f t="shared" ref="GP163:GP170" si="154">IF(BI163=4,ROUND(O163+X163+Y163,0)+GX163,0)</f>
        <v>0</v>
      </c>
      <c r="GR163">
        <v>0</v>
      </c>
      <c r="GS163">
        <v>0</v>
      </c>
      <c r="GT163">
        <v>0</v>
      </c>
      <c r="GU163" t="s">
        <v>3</v>
      </c>
      <c r="GV163">
        <f t="shared" ref="GV163:GV170" si="155">ROUND((GT163),1)</f>
        <v>0</v>
      </c>
      <c r="GW163">
        <v>1</v>
      </c>
      <c r="GX163">
        <f t="shared" ref="GX163:GX170" si="156">ROUND(HC163*I163,0)</f>
        <v>0</v>
      </c>
      <c r="HA163">
        <v>0</v>
      </c>
      <c r="HB163">
        <v>0</v>
      </c>
      <c r="HC163">
        <f t="shared" ref="HC163:HC170" si="157">GV163*GW163</f>
        <v>0</v>
      </c>
      <c r="IK163">
        <v>0</v>
      </c>
    </row>
    <row r="164" spans="1:245" x14ac:dyDescent="0.2">
      <c r="A164">
        <v>17</v>
      </c>
      <c r="B164">
        <v>1</v>
      </c>
      <c r="C164">
        <f>ROW(SmtRes!A99)</f>
        <v>99</v>
      </c>
      <c r="D164">
        <f>ROW(EtalonRes!A98)</f>
        <v>98</v>
      </c>
      <c r="E164" t="s">
        <v>210</v>
      </c>
      <c r="F164" t="s">
        <v>156</v>
      </c>
      <c r="G164" t="s">
        <v>157</v>
      </c>
      <c r="H164" t="s">
        <v>148</v>
      </c>
      <c r="I164">
        <f>ROUND((I166*100*0.1*0.18)/100,4)</f>
        <v>7.7600000000000002E-2</v>
      </c>
      <c r="J164">
        <v>0</v>
      </c>
      <c r="O164">
        <f t="shared" si="127"/>
        <v>339</v>
      </c>
      <c r="P164">
        <f t="shared" si="128"/>
        <v>1</v>
      </c>
      <c r="Q164">
        <f t="shared" si="129"/>
        <v>324</v>
      </c>
      <c r="R164">
        <f t="shared" si="130"/>
        <v>27</v>
      </c>
      <c r="S164">
        <f t="shared" si="131"/>
        <v>14</v>
      </c>
      <c r="T164">
        <f t="shared" si="132"/>
        <v>0</v>
      </c>
      <c r="U164">
        <f t="shared" si="133"/>
        <v>2.1587156000000003</v>
      </c>
      <c r="V164">
        <f t="shared" si="134"/>
        <v>1.9982</v>
      </c>
      <c r="W164">
        <f t="shared" si="135"/>
        <v>0</v>
      </c>
      <c r="X164">
        <f t="shared" si="136"/>
        <v>58</v>
      </c>
      <c r="Y164">
        <f t="shared" si="136"/>
        <v>33</v>
      </c>
      <c r="AA164">
        <v>50210945</v>
      </c>
      <c r="AB164">
        <f t="shared" si="137"/>
        <v>4369.3999999999996</v>
      </c>
      <c r="AC164">
        <f t="shared" si="138"/>
        <v>15.8</v>
      </c>
      <c r="AD164">
        <f>ROUND(((((ET164*1.25))-((EU164*1.25)))+AE164),1)</f>
        <v>4170.6000000000004</v>
      </c>
      <c r="AE164">
        <f>ROUND(((EU164*1.25)),1)</f>
        <v>342</v>
      </c>
      <c r="AF164">
        <f>ROUND(((EV164*1.15)),1)</f>
        <v>183</v>
      </c>
      <c r="AG164">
        <f t="shared" si="139"/>
        <v>0</v>
      </c>
      <c r="AH164">
        <f>((EW164*1.15))</f>
        <v>27.8185</v>
      </c>
      <c r="AI164">
        <f>((EX164*1.25))</f>
        <v>25.75</v>
      </c>
      <c r="AJ164">
        <f t="shared" si="140"/>
        <v>0</v>
      </c>
      <c r="AK164">
        <v>3511.43</v>
      </c>
      <c r="AL164">
        <v>15.82</v>
      </c>
      <c r="AM164">
        <v>3336.44</v>
      </c>
      <c r="AN164">
        <v>273.57</v>
      </c>
      <c r="AO164">
        <v>159.16999999999999</v>
      </c>
      <c r="AP164">
        <v>0</v>
      </c>
      <c r="AQ164">
        <v>24.19</v>
      </c>
      <c r="AR164">
        <v>20.6</v>
      </c>
      <c r="AS164">
        <v>0</v>
      </c>
      <c r="AT164">
        <v>142</v>
      </c>
      <c r="AU164">
        <v>81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1</v>
      </c>
      <c r="BJ164" t="s">
        <v>158</v>
      </c>
      <c r="BM164">
        <v>27001</v>
      </c>
      <c r="BN164">
        <v>0</v>
      </c>
      <c r="BO164" t="s">
        <v>3</v>
      </c>
      <c r="BP164">
        <v>0</v>
      </c>
      <c r="BQ164">
        <v>2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142</v>
      </c>
      <c r="CA164">
        <v>95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41"/>
        <v>339</v>
      </c>
      <c r="CQ164">
        <f t="shared" si="142"/>
        <v>15.8</v>
      </c>
      <c r="CR164">
        <f t="shared" si="143"/>
        <v>4170.6000000000004</v>
      </c>
      <c r="CS164">
        <f t="shared" si="144"/>
        <v>342</v>
      </c>
      <c r="CT164">
        <f t="shared" si="145"/>
        <v>183</v>
      </c>
      <c r="CU164">
        <f t="shared" si="146"/>
        <v>0</v>
      </c>
      <c r="CV164">
        <f t="shared" si="146"/>
        <v>27.8185</v>
      </c>
      <c r="CW164">
        <f t="shared" si="146"/>
        <v>25.75</v>
      </c>
      <c r="CX164">
        <f t="shared" si="146"/>
        <v>0</v>
      </c>
      <c r="CY164">
        <f t="shared" si="147"/>
        <v>58.22</v>
      </c>
      <c r="CZ164">
        <f t="shared" si="148"/>
        <v>33.21</v>
      </c>
      <c r="DC164" t="s">
        <v>3</v>
      </c>
      <c r="DD164" t="s">
        <v>3</v>
      </c>
      <c r="DE164" t="s">
        <v>11</v>
      </c>
      <c r="DF164" t="s">
        <v>11</v>
      </c>
      <c r="DG164" t="s">
        <v>12</v>
      </c>
      <c r="DH164" t="s">
        <v>3</v>
      </c>
      <c r="DI164" t="s">
        <v>12</v>
      </c>
      <c r="DJ164" t="s">
        <v>11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148</v>
      </c>
      <c r="DW164" t="s">
        <v>148</v>
      </c>
      <c r="DX164">
        <v>1</v>
      </c>
      <c r="EE164">
        <v>48752256</v>
      </c>
      <c r="EF164">
        <v>2</v>
      </c>
      <c r="EG164" t="s">
        <v>30</v>
      </c>
      <c r="EH164">
        <v>0</v>
      </c>
      <c r="EI164" t="s">
        <v>3</v>
      </c>
      <c r="EJ164">
        <v>1</v>
      </c>
      <c r="EK164">
        <v>27001</v>
      </c>
      <c r="EL164" t="s">
        <v>73</v>
      </c>
      <c r="EM164" t="s">
        <v>74</v>
      </c>
      <c r="EO164" t="s">
        <v>3</v>
      </c>
      <c r="EQ164">
        <v>131072</v>
      </c>
      <c r="ER164">
        <v>3511.43</v>
      </c>
      <c r="ES164">
        <v>15.82</v>
      </c>
      <c r="ET164">
        <v>3336.44</v>
      </c>
      <c r="EU164">
        <v>273.57</v>
      </c>
      <c r="EV164">
        <v>159.16999999999999</v>
      </c>
      <c r="EW164">
        <v>24.19</v>
      </c>
      <c r="EX164">
        <v>20.6</v>
      </c>
      <c r="EY164">
        <v>0</v>
      </c>
      <c r="FQ164">
        <v>0</v>
      </c>
      <c r="FR164">
        <f t="shared" si="149"/>
        <v>0</v>
      </c>
      <c r="FS164">
        <v>0</v>
      </c>
      <c r="FU164" t="s">
        <v>33</v>
      </c>
      <c r="FX164">
        <v>142</v>
      </c>
      <c r="FY164">
        <v>80.75</v>
      </c>
      <c r="GA164" t="s">
        <v>3</v>
      </c>
      <c r="GD164">
        <v>1</v>
      </c>
      <c r="GF164">
        <v>-2049045877</v>
      </c>
      <c r="GG164">
        <v>2</v>
      </c>
      <c r="GH164">
        <v>0</v>
      </c>
      <c r="GI164">
        <v>0</v>
      </c>
      <c r="GJ164">
        <v>0</v>
      </c>
      <c r="GK164">
        <v>0</v>
      </c>
      <c r="GL164">
        <f t="shared" si="150"/>
        <v>0</v>
      </c>
      <c r="GM164">
        <f t="shared" si="151"/>
        <v>430</v>
      </c>
      <c r="GN164">
        <f t="shared" si="152"/>
        <v>430</v>
      </c>
      <c r="GO164">
        <f t="shared" si="153"/>
        <v>0</v>
      </c>
      <c r="GP164">
        <f t="shared" si="154"/>
        <v>0</v>
      </c>
      <c r="GR164">
        <v>0</v>
      </c>
      <c r="GS164">
        <v>0</v>
      </c>
      <c r="GT164">
        <v>0</v>
      </c>
      <c r="GU164" t="s">
        <v>3</v>
      </c>
      <c r="GV164">
        <f t="shared" si="155"/>
        <v>0</v>
      </c>
      <c r="GW164">
        <v>1</v>
      </c>
      <c r="GX164">
        <f t="shared" si="156"/>
        <v>0</v>
      </c>
      <c r="HA164">
        <v>0</v>
      </c>
      <c r="HB164">
        <v>0</v>
      </c>
      <c r="HC164">
        <f t="shared" si="157"/>
        <v>0</v>
      </c>
      <c r="IK164">
        <v>0</v>
      </c>
    </row>
    <row r="165" spans="1:245" x14ac:dyDescent="0.2">
      <c r="A165">
        <v>18</v>
      </c>
      <c r="B165">
        <v>1</v>
      </c>
      <c r="C165">
        <v>98</v>
      </c>
      <c r="E165" t="s">
        <v>211</v>
      </c>
      <c r="F165" t="s">
        <v>160</v>
      </c>
      <c r="G165" t="s">
        <v>161</v>
      </c>
      <c r="H165" t="s">
        <v>153</v>
      </c>
      <c r="I165">
        <f>I164*J165</f>
        <v>9.7775999999999996</v>
      </c>
      <c r="J165">
        <v>125.99999999999999</v>
      </c>
      <c r="O165">
        <f t="shared" si="127"/>
        <v>1244</v>
      </c>
      <c r="P165">
        <f t="shared" si="128"/>
        <v>1244</v>
      </c>
      <c r="Q165">
        <f t="shared" si="129"/>
        <v>0</v>
      </c>
      <c r="R165">
        <f t="shared" si="130"/>
        <v>0</v>
      </c>
      <c r="S165">
        <f t="shared" si="131"/>
        <v>0</v>
      </c>
      <c r="T165">
        <f t="shared" si="132"/>
        <v>0</v>
      </c>
      <c r="U165">
        <f t="shared" si="133"/>
        <v>0</v>
      </c>
      <c r="V165">
        <f t="shared" si="134"/>
        <v>0</v>
      </c>
      <c r="W165">
        <f t="shared" si="135"/>
        <v>0</v>
      </c>
      <c r="X165">
        <f t="shared" si="136"/>
        <v>0</v>
      </c>
      <c r="Y165">
        <f t="shared" si="136"/>
        <v>0</v>
      </c>
      <c r="AA165">
        <v>50210945</v>
      </c>
      <c r="AB165">
        <f t="shared" si="137"/>
        <v>127.2</v>
      </c>
      <c r="AC165">
        <f t="shared" si="138"/>
        <v>127.2</v>
      </c>
      <c r="AD165">
        <f>ROUND((((ET165)-(EU165))+AE165),1)</f>
        <v>0</v>
      </c>
      <c r="AE165">
        <f>ROUND((EU165),1)</f>
        <v>0</v>
      </c>
      <c r="AF165">
        <f>ROUND((EV165),1)</f>
        <v>0</v>
      </c>
      <c r="AG165">
        <f t="shared" si="139"/>
        <v>0</v>
      </c>
      <c r="AH165">
        <f>(EW165)</f>
        <v>0</v>
      </c>
      <c r="AI165">
        <f>(EX165)</f>
        <v>0</v>
      </c>
      <c r="AJ165">
        <f t="shared" si="140"/>
        <v>0</v>
      </c>
      <c r="AK165">
        <v>127.2</v>
      </c>
      <c r="AL165">
        <v>127.2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142</v>
      </c>
      <c r="AU165">
        <v>81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3</v>
      </c>
      <c r="BI165">
        <v>1</v>
      </c>
      <c r="BJ165" t="s">
        <v>162</v>
      </c>
      <c r="BM165">
        <v>27001</v>
      </c>
      <c r="BN165">
        <v>0</v>
      </c>
      <c r="BO165" t="s">
        <v>3</v>
      </c>
      <c r="BP165">
        <v>0</v>
      </c>
      <c r="BQ165">
        <v>2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142</v>
      </c>
      <c r="CA165">
        <v>95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41"/>
        <v>1244</v>
      </c>
      <c r="CQ165">
        <f t="shared" si="142"/>
        <v>127.2</v>
      </c>
      <c r="CR165">
        <f t="shared" si="143"/>
        <v>0</v>
      </c>
      <c r="CS165">
        <f t="shared" si="144"/>
        <v>0</v>
      </c>
      <c r="CT165">
        <f t="shared" si="145"/>
        <v>0</v>
      </c>
      <c r="CU165">
        <f t="shared" si="146"/>
        <v>0</v>
      </c>
      <c r="CV165">
        <f t="shared" si="146"/>
        <v>0</v>
      </c>
      <c r="CW165">
        <f t="shared" si="146"/>
        <v>0</v>
      </c>
      <c r="CX165">
        <f t="shared" si="146"/>
        <v>0</v>
      </c>
      <c r="CY165">
        <f t="shared" si="147"/>
        <v>0</v>
      </c>
      <c r="CZ165">
        <f t="shared" si="148"/>
        <v>0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1007</v>
      </c>
      <c r="DV165" t="s">
        <v>153</v>
      </c>
      <c r="DW165" t="s">
        <v>153</v>
      </c>
      <c r="DX165">
        <v>1</v>
      </c>
      <c r="EE165">
        <v>48752256</v>
      </c>
      <c r="EF165">
        <v>2</v>
      </c>
      <c r="EG165" t="s">
        <v>30</v>
      </c>
      <c r="EH165">
        <v>0</v>
      </c>
      <c r="EI165" t="s">
        <v>3</v>
      </c>
      <c r="EJ165">
        <v>1</v>
      </c>
      <c r="EK165">
        <v>27001</v>
      </c>
      <c r="EL165" t="s">
        <v>73</v>
      </c>
      <c r="EM165" t="s">
        <v>74</v>
      </c>
      <c r="EO165" t="s">
        <v>3</v>
      </c>
      <c r="EQ165">
        <v>0</v>
      </c>
      <c r="ER165">
        <v>127.2</v>
      </c>
      <c r="ES165">
        <v>127.2</v>
      </c>
      <c r="ET165">
        <v>0</v>
      </c>
      <c r="EU165">
        <v>0</v>
      </c>
      <c r="EV165">
        <v>0</v>
      </c>
      <c r="EW165">
        <v>0</v>
      </c>
      <c r="EX165">
        <v>0</v>
      </c>
      <c r="FQ165">
        <v>0</v>
      </c>
      <c r="FR165">
        <f t="shared" si="149"/>
        <v>0</v>
      </c>
      <c r="FS165">
        <v>0</v>
      </c>
      <c r="FU165" t="s">
        <v>33</v>
      </c>
      <c r="FX165">
        <v>142</v>
      </c>
      <c r="FY165">
        <v>80.75</v>
      </c>
      <c r="GA165" t="s">
        <v>3</v>
      </c>
      <c r="GD165">
        <v>1</v>
      </c>
      <c r="GF165">
        <v>1276216311</v>
      </c>
      <c r="GG165">
        <v>2</v>
      </c>
      <c r="GH165">
        <v>0</v>
      </c>
      <c r="GI165">
        <v>0</v>
      </c>
      <c r="GJ165">
        <v>0</v>
      </c>
      <c r="GK165">
        <v>0</v>
      </c>
      <c r="GL165">
        <f t="shared" si="150"/>
        <v>0</v>
      </c>
      <c r="GM165">
        <f t="shared" si="151"/>
        <v>1244</v>
      </c>
      <c r="GN165">
        <f t="shared" si="152"/>
        <v>1244</v>
      </c>
      <c r="GO165">
        <f t="shared" si="153"/>
        <v>0</v>
      </c>
      <c r="GP165">
        <f t="shared" si="154"/>
        <v>0</v>
      </c>
      <c r="GR165">
        <v>0</v>
      </c>
      <c r="GS165">
        <v>0</v>
      </c>
      <c r="GT165">
        <v>0</v>
      </c>
      <c r="GU165" t="s">
        <v>3</v>
      </c>
      <c r="GV165">
        <f t="shared" si="155"/>
        <v>0</v>
      </c>
      <c r="GW165">
        <v>1</v>
      </c>
      <c r="GX165">
        <f t="shared" si="156"/>
        <v>0</v>
      </c>
      <c r="HA165">
        <v>0</v>
      </c>
      <c r="HB165">
        <v>0</v>
      </c>
      <c r="HC165">
        <f t="shared" si="157"/>
        <v>0</v>
      </c>
      <c r="IK165">
        <v>0</v>
      </c>
    </row>
    <row r="166" spans="1:245" x14ac:dyDescent="0.2">
      <c r="A166">
        <v>17</v>
      </c>
      <c r="B166">
        <v>1</v>
      </c>
      <c r="C166">
        <f>ROW(SmtRes!A108)</f>
        <v>108</v>
      </c>
      <c r="D166">
        <f>ROW(EtalonRes!A107)</f>
        <v>107</v>
      </c>
      <c r="E166" t="s">
        <v>212</v>
      </c>
      <c r="F166" t="s">
        <v>213</v>
      </c>
      <c r="G166" t="s">
        <v>214</v>
      </c>
      <c r="H166" t="s">
        <v>215</v>
      </c>
      <c r="I166">
        <f>ROUND(431/100,4)</f>
        <v>4.3099999999999996</v>
      </c>
      <c r="J166">
        <v>0</v>
      </c>
      <c r="O166">
        <f t="shared" si="127"/>
        <v>17781</v>
      </c>
      <c r="P166">
        <f t="shared" si="128"/>
        <v>14759</v>
      </c>
      <c r="Q166">
        <f t="shared" si="129"/>
        <v>428</v>
      </c>
      <c r="R166">
        <f t="shared" si="130"/>
        <v>49</v>
      </c>
      <c r="S166">
        <f t="shared" si="131"/>
        <v>2594</v>
      </c>
      <c r="T166">
        <f t="shared" si="132"/>
        <v>0</v>
      </c>
      <c r="U166">
        <f t="shared" si="133"/>
        <v>377.09051999999991</v>
      </c>
      <c r="V166">
        <f t="shared" si="134"/>
        <v>3.6635</v>
      </c>
      <c r="W166">
        <f t="shared" si="135"/>
        <v>0</v>
      </c>
      <c r="X166">
        <f t="shared" si="136"/>
        <v>3753</v>
      </c>
      <c r="Y166">
        <f t="shared" si="136"/>
        <v>2141</v>
      </c>
      <c r="AA166">
        <v>50210945</v>
      </c>
      <c r="AB166">
        <f t="shared" si="137"/>
        <v>4125.6000000000004</v>
      </c>
      <c r="AC166">
        <f t="shared" si="138"/>
        <v>3424.4</v>
      </c>
      <c r="AD166">
        <f>ROUND(((((ET166*1.25))-((EU166*1.25)))+AE166),1)</f>
        <v>99.3</v>
      </c>
      <c r="AE166">
        <f>ROUND(((EU166*1.25)),1)</f>
        <v>11.3</v>
      </c>
      <c r="AF166">
        <f>ROUND(((EV166*1.15)),1)</f>
        <v>601.9</v>
      </c>
      <c r="AG166">
        <f t="shared" si="139"/>
        <v>0</v>
      </c>
      <c r="AH166">
        <f>((EW166*1.15))</f>
        <v>87.49199999999999</v>
      </c>
      <c r="AI166">
        <f>((EX166*1.25))</f>
        <v>0.85000000000000009</v>
      </c>
      <c r="AJ166">
        <f t="shared" si="140"/>
        <v>0</v>
      </c>
      <c r="AK166">
        <v>4027.26</v>
      </c>
      <c r="AL166">
        <v>3424.38</v>
      </c>
      <c r="AM166">
        <v>79.45</v>
      </c>
      <c r="AN166">
        <v>9.02</v>
      </c>
      <c r="AO166">
        <v>523.42999999999995</v>
      </c>
      <c r="AP166">
        <v>0</v>
      </c>
      <c r="AQ166">
        <v>76.08</v>
      </c>
      <c r="AR166">
        <v>0.68</v>
      </c>
      <c r="AS166">
        <v>0</v>
      </c>
      <c r="AT166">
        <v>142</v>
      </c>
      <c r="AU166">
        <v>81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1</v>
      </c>
      <c r="BJ166" t="s">
        <v>216</v>
      </c>
      <c r="BM166">
        <v>27001</v>
      </c>
      <c r="BN166">
        <v>0</v>
      </c>
      <c r="BO166" t="s">
        <v>3</v>
      </c>
      <c r="BP166">
        <v>0</v>
      </c>
      <c r="BQ166">
        <v>2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142</v>
      </c>
      <c r="CA166">
        <v>95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41"/>
        <v>17781</v>
      </c>
      <c r="CQ166">
        <f t="shared" si="142"/>
        <v>3424.4</v>
      </c>
      <c r="CR166">
        <f t="shared" si="143"/>
        <v>99.3</v>
      </c>
      <c r="CS166">
        <f t="shared" si="144"/>
        <v>11.3</v>
      </c>
      <c r="CT166">
        <f t="shared" si="145"/>
        <v>601.9</v>
      </c>
      <c r="CU166">
        <f t="shared" si="146"/>
        <v>0</v>
      </c>
      <c r="CV166">
        <f t="shared" si="146"/>
        <v>87.49199999999999</v>
      </c>
      <c r="CW166">
        <f t="shared" si="146"/>
        <v>0.85000000000000009</v>
      </c>
      <c r="CX166">
        <f t="shared" si="146"/>
        <v>0</v>
      </c>
      <c r="CY166">
        <f t="shared" si="147"/>
        <v>3753.06</v>
      </c>
      <c r="CZ166">
        <f t="shared" si="148"/>
        <v>2140.83</v>
      </c>
      <c r="DC166" t="s">
        <v>3</v>
      </c>
      <c r="DD166" t="s">
        <v>3</v>
      </c>
      <c r="DE166" t="s">
        <v>11</v>
      </c>
      <c r="DF166" t="s">
        <v>11</v>
      </c>
      <c r="DG166" t="s">
        <v>12</v>
      </c>
      <c r="DH166" t="s">
        <v>3</v>
      </c>
      <c r="DI166" t="s">
        <v>12</v>
      </c>
      <c r="DJ166" t="s">
        <v>11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1013</v>
      </c>
      <c r="DV166" t="s">
        <v>215</v>
      </c>
      <c r="DW166" t="s">
        <v>215</v>
      </c>
      <c r="DX166">
        <v>1</v>
      </c>
      <c r="EE166">
        <v>48752256</v>
      </c>
      <c r="EF166">
        <v>2</v>
      </c>
      <c r="EG166" t="s">
        <v>30</v>
      </c>
      <c r="EH166">
        <v>0</v>
      </c>
      <c r="EI166" t="s">
        <v>3</v>
      </c>
      <c r="EJ166">
        <v>1</v>
      </c>
      <c r="EK166">
        <v>27001</v>
      </c>
      <c r="EL166" t="s">
        <v>73</v>
      </c>
      <c r="EM166" t="s">
        <v>74</v>
      </c>
      <c r="EO166" t="s">
        <v>3</v>
      </c>
      <c r="EQ166">
        <v>131072</v>
      </c>
      <c r="ER166">
        <v>4027.26</v>
      </c>
      <c r="ES166">
        <v>3424.38</v>
      </c>
      <c r="ET166">
        <v>79.45</v>
      </c>
      <c r="EU166">
        <v>9.02</v>
      </c>
      <c r="EV166">
        <v>523.42999999999995</v>
      </c>
      <c r="EW166">
        <v>76.08</v>
      </c>
      <c r="EX166">
        <v>0.68</v>
      </c>
      <c r="EY166">
        <v>0</v>
      </c>
      <c r="FQ166">
        <v>0</v>
      </c>
      <c r="FR166">
        <f t="shared" si="149"/>
        <v>0</v>
      </c>
      <c r="FS166">
        <v>0</v>
      </c>
      <c r="FU166" t="s">
        <v>33</v>
      </c>
      <c r="FX166">
        <v>142</v>
      </c>
      <c r="FY166">
        <v>80.75</v>
      </c>
      <c r="GA166" t="s">
        <v>3</v>
      </c>
      <c r="GD166">
        <v>1</v>
      </c>
      <c r="GF166">
        <v>625015884</v>
      </c>
      <c r="GG166">
        <v>2</v>
      </c>
      <c r="GH166">
        <v>0</v>
      </c>
      <c r="GI166">
        <v>0</v>
      </c>
      <c r="GJ166">
        <v>0</v>
      </c>
      <c r="GK166">
        <v>0</v>
      </c>
      <c r="GL166">
        <f t="shared" si="150"/>
        <v>0</v>
      </c>
      <c r="GM166">
        <f t="shared" si="151"/>
        <v>23675</v>
      </c>
      <c r="GN166">
        <f t="shared" si="152"/>
        <v>23675</v>
      </c>
      <c r="GO166">
        <f t="shared" si="153"/>
        <v>0</v>
      </c>
      <c r="GP166">
        <f t="shared" si="154"/>
        <v>0</v>
      </c>
      <c r="GR166">
        <v>0</v>
      </c>
      <c r="GS166">
        <v>0</v>
      </c>
      <c r="GT166">
        <v>0</v>
      </c>
      <c r="GU166" t="s">
        <v>3</v>
      </c>
      <c r="GV166">
        <f t="shared" si="155"/>
        <v>0</v>
      </c>
      <c r="GW166">
        <v>1</v>
      </c>
      <c r="GX166">
        <f t="shared" si="156"/>
        <v>0</v>
      </c>
      <c r="HA166">
        <v>0</v>
      </c>
      <c r="HB166">
        <v>0</v>
      </c>
      <c r="HC166">
        <f t="shared" si="157"/>
        <v>0</v>
      </c>
      <c r="IK166">
        <v>0</v>
      </c>
    </row>
    <row r="167" spans="1:245" x14ac:dyDescent="0.2">
      <c r="A167">
        <v>18</v>
      </c>
      <c r="B167">
        <v>1</v>
      </c>
      <c r="C167">
        <v>108</v>
      </c>
      <c r="E167" t="s">
        <v>217</v>
      </c>
      <c r="F167" t="s">
        <v>218</v>
      </c>
      <c r="G167" t="s">
        <v>219</v>
      </c>
      <c r="H167" t="s">
        <v>220</v>
      </c>
      <c r="I167">
        <f>I166*J167</f>
        <v>431</v>
      </c>
      <c r="J167">
        <v>100.00000000000001</v>
      </c>
      <c r="O167">
        <f t="shared" si="127"/>
        <v>25214</v>
      </c>
      <c r="P167">
        <f t="shared" si="128"/>
        <v>25214</v>
      </c>
      <c r="Q167">
        <f t="shared" si="129"/>
        <v>0</v>
      </c>
      <c r="R167">
        <f t="shared" si="130"/>
        <v>0</v>
      </c>
      <c r="S167">
        <f t="shared" si="131"/>
        <v>0</v>
      </c>
      <c r="T167">
        <f t="shared" si="132"/>
        <v>0</v>
      </c>
      <c r="U167">
        <f t="shared" si="133"/>
        <v>0</v>
      </c>
      <c r="V167">
        <f t="shared" si="134"/>
        <v>0</v>
      </c>
      <c r="W167">
        <f t="shared" si="135"/>
        <v>0</v>
      </c>
      <c r="X167">
        <f t="shared" si="136"/>
        <v>0</v>
      </c>
      <c r="Y167">
        <f t="shared" si="136"/>
        <v>0</v>
      </c>
      <c r="AA167">
        <v>50210945</v>
      </c>
      <c r="AB167">
        <f t="shared" si="137"/>
        <v>58.5</v>
      </c>
      <c r="AC167">
        <f t="shared" si="138"/>
        <v>58.5</v>
      </c>
      <c r="AD167">
        <f>ROUND((((ET167)-(EU167))+AE167),1)</f>
        <v>0</v>
      </c>
      <c r="AE167">
        <f>ROUND((EU167),1)</f>
        <v>0</v>
      </c>
      <c r="AF167">
        <f>ROUND((EV167),1)</f>
        <v>0</v>
      </c>
      <c r="AG167">
        <f t="shared" si="139"/>
        <v>0</v>
      </c>
      <c r="AH167">
        <f>(EW167)</f>
        <v>0</v>
      </c>
      <c r="AI167">
        <f>(EX167)</f>
        <v>0</v>
      </c>
      <c r="AJ167">
        <f t="shared" si="140"/>
        <v>0</v>
      </c>
      <c r="AK167">
        <v>58.45</v>
      </c>
      <c r="AL167">
        <v>58.45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142</v>
      </c>
      <c r="AU167">
        <v>81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3</v>
      </c>
      <c r="BI167">
        <v>1</v>
      </c>
      <c r="BJ167" t="s">
        <v>221</v>
      </c>
      <c r="BM167">
        <v>27001</v>
      </c>
      <c r="BN167">
        <v>0</v>
      </c>
      <c r="BO167" t="s">
        <v>3</v>
      </c>
      <c r="BP167">
        <v>0</v>
      </c>
      <c r="BQ167">
        <v>2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142</v>
      </c>
      <c r="CA167">
        <v>95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41"/>
        <v>25214</v>
      </c>
      <c r="CQ167">
        <f t="shared" si="142"/>
        <v>58.5</v>
      </c>
      <c r="CR167">
        <f t="shared" si="143"/>
        <v>0</v>
      </c>
      <c r="CS167">
        <f t="shared" si="144"/>
        <v>0</v>
      </c>
      <c r="CT167">
        <f t="shared" si="145"/>
        <v>0</v>
      </c>
      <c r="CU167">
        <f t="shared" si="146"/>
        <v>0</v>
      </c>
      <c r="CV167">
        <f t="shared" si="146"/>
        <v>0</v>
      </c>
      <c r="CW167">
        <f t="shared" si="146"/>
        <v>0</v>
      </c>
      <c r="CX167">
        <f t="shared" si="146"/>
        <v>0</v>
      </c>
      <c r="CY167">
        <f t="shared" si="147"/>
        <v>0</v>
      </c>
      <c r="CZ167">
        <f t="shared" si="148"/>
        <v>0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1010</v>
      </c>
      <c r="DV167" t="s">
        <v>220</v>
      </c>
      <c r="DW167" t="s">
        <v>220</v>
      </c>
      <c r="DX167">
        <v>1</v>
      </c>
      <c r="EE167">
        <v>48752256</v>
      </c>
      <c r="EF167">
        <v>2</v>
      </c>
      <c r="EG167" t="s">
        <v>30</v>
      </c>
      <c r="EH167">
        <v>0</v>
      </c>
      <c r="EI167" t="s">
        <v>3</v>
      </c>
      <c r="EJ167">
        <v>1</v>
      </c>
      <c r="EK167">
        <v>27001</v>
      </c>
      <c r="EL167" t="s">
        <v>73</v>
      </c>
      <c r="EM167" t="s">
        <v>74</v>
      </c>
      <c r="EO167" t="s">
        <v>3</v>
      </c>
      <c r="EQ167">
        <v>0</v>
      </c>
      <c r="ER167">
        <v>58.45</v>
      </c>
      <c r="ES167">
        <v>58.45</v>
      </c>
      <c r="ET167">
        <v>0</v>
      </c>
      <c r="EU167">
        <v>0</v>
      </c>
      <c r="EV167">
        <v>0</v>
      </c>
      <c r="EW167">
        <v>0</v>
      </c>
      <c r="EX167">
        <v>0</v>
      </c>
      <c r="FQ167">
        <v>0</v>
      </c>
      <c r="FR167">
        <f t="shared" si="149"/>
        <v>0</v>
      </c>
      <c r="FS167">
        <v>0</v>
      </c>
      <c r="FU167" t="s">
        <v>33</v>
      </c>
      <c r="FX167">
        <v>142</v>
      </c>
      <c r="FY167">
        <v>80.75</v>
      </c>
      <c r="GA167" t="s">
        <v>3</v>
      </c>
      <c r="GD167">
        <v>1</v>
      </c>
      <c r="GF167">
        <v>2131618908</v>
      </c>
      <c r="GG167">
        <v>2</v>
      </c>
      <c r="GH167">
        <v>0</v>
      </c>
      <c r="GI167">
        <v>0</v>
      </c>
      <c r="GJ167">
        <v>0</v>
      </c>
      <c r="GK167">
        <v>0</v>
      </c>
      <c r="GL167">
        <f t="shared" si="150"/>
        <v>0</v>
      </c>
      <c r="GM167">
        <f t="shared" si="151"/>
        <v>25214</v>
      </c>
      <c r="GN167">
        <f t="shared" si="152"/>
        <v>25214</v>
      </c>
      <c r="GO167">
        <f t="shared" si="153"/>
        <v>0</v>
      </c>
      <c r="GP167">
        <f t="shared" si="154"/>
        <v>0</v>
      </c>
      <c r="GR167">
        <v>0</v>
      </c>
      <c r="GS167">
        <v>0</v>
      </c>
      <c r="GT167">
        <v>0</v>
      </c>
      <c r="GU167" t="s">
        <v>3</v>
      </c>
      <c r="GV167">
        <f t="shared" si="155"/>
        <v>0</v>
      </c>
      <c r="GW167">
        <v>1</v>
      </c>
      <c r="GX167">
        <f t="shared" si="156"/>
        <v>0</v>
      </c>
      <c r="HA167">
        <v>0</v>
      </c>
      <c r="HB167">
        <v>0</v>
      </c>
      <c r="HC167">
        <f t="shared" si="157"/>
        <v>0</v>
      </c>
      <c r="IK167">
        <v>0</v>
      </c>
    </row>
    <row r="168" spans="1:245" x14ac:dyDescent="0.2">
      <c r="A168">
        <v>17</v>
      </c>
      <c r="B168">
        <v>1</v>
      </c>
      <c r="C168">
        <f>ROW(SmtRes!A109)</f>
        <v>109</v>
      </c>
      <c r="D168">
        <f>ROW(EtalonRes!A108)</f>
        <v>108</v>
      </c>
      <c r="E168" t="s">
        <v>222</v>
      </c>
      <c r="F168" t="s">
        <v>223</v>
      </c>
      <c r="G168" t="s">
        <v>224</v>
      </c>
      <c r="H168" t="s">
        <v>207</v>
      </c>
      <c r="I168">
        <f>ROUND((I166*100*0.1*0.18)/100,4)</f>
        <v>7.7600000000000002E-2</v>
      </c>
      <c r="J168">
        <v>0</v>
      </c>
      <c r="O168">
        <f t="shared" si="127"/>
        <v>48</v>
      </c>
      <c r="P168">
        <f t="shared" si="128"/>
        <v>0</v>
      </c>
      <c r="Q168">
        <f t="shared" si="129"/>
        <v>0</v>
      </c>
      <c r="R168">
        <f t="shared" si="130"/>
        <v>0</v>
      </c>
      <c r="S168">
        <f t="shared" si="131"/>
        <v>48</v>
      </c>
      <c r="T168">
        <f t="shared" si="132"/>
        <v>0</v>
      </c>
      <c r="U168">
        <f t="shared" si="133"/>
        <v>7.8977399999999998</v>
      </c>
      <c r="V168">
        <f t="shared" si="134"/>
        <v>0</v>
      </c>
      <c r="W168">
        <f t="shared" si="135"/>
        <v>0</v>
      </c>
      <c r="X168">
        <f t="shared" si="136"/>
        <v>38</v>
      </c>
      <c r="Y168">
        <f t="shared" si="136"/>
        <v>18</v>
      </c>
      <c r="AA168">
        <v>50210945</v>
      </c>
      <c r="AB168">
        <f t="shared" si="137"/>
        <v>620.79999999999995</v>
      </c>
      <c r="AC168">
        <f t="shared" si="138"/>
        <v>0</v>
      </c>
      <c r="AD168">
        <f>ROUND(((((ET168*1.25))-((EU168*1.25)))+AE168),1)</f>
        <v>0</v>
      </c>
      <c r="AE168">
        <f>ROUND(((EU168*1.25)),1)</f>
        <v>0</v>
      </c>
      <c r="AF168">
        <f>ROUND(((EV168*1.15)),1)</f>
        <v>620.79999999999995</v>
      </c>
      <c r="AG168">
        <f t="shared" si="139"/>
        <v>0</v>
      </c>
      <c r="AH168">
        <f>((EW168*1.15))</f>
        <v>101.77499999999999</v>
      </c>
      <c r="AI168">
        <f>((EX168*1.25))</f>
        <v>0</v>
      </c>
      <c r="AJ168">
        <f t="shared" si="140"/>
        <v>0</v>
      </c>
      <c r="AK168">
        <v>539.85</v>
      </c>
      <c r="AL168">
        <v>0</v>
      </c>
      <c r="AM168">
        <v>0</v>
      </c>
      <c r="AN168">
        <v>0</v>
      </c>
      <c r="AO168">
        <v>539.85</v>
      </c>
      <c r="AP168">
        <v>0</v>
      </c>
      <c r="AQ168">
        <v>88.5</v>
      </c>
      <c r="AR168">
        <v>0</v>
      </c>
      <c r="AS168">
        <v>0</v>
      </c>
      <c r="AT168">
        <v>80</v>
      </c>
      <c r="AU168">
        <v>38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1</v>
      </c>
      <c r="BJ168" t="s">
        <v>225</v>
      </c>
      <c r="BM168">
        <v>1003</v>
      </c>
      <c r="BN168">
        <v>0</v>
      </c>
      <c r="BO168" t="s">
        <v>3</v>
      </c>
      <c r="BP168">
        <v>0</v>
      </c>
      <c r="BQ168">
        <v>2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80</v>
      </c>
      <c r="CA168">
        <v>45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41"/>
        <v>48</v>
      </c>
      <c r="CQ168">
        <f t="shared" si="142"/>
        <v>0</v>
      </c>
      <c r="CR168">
        <f t="shared" si="143"/>
        <v>0</v>
      </c>
      <c r="CS168">
        <f t="shared" si="144"/>
        <v>0</v>
      </c>
      <c r="CT168">
        <f t="shared" si="145"/>
        <v>620.79999999999995</v>
      </c>
      <c r="CU168">
        <f t="shared" si="146"/>
        <v>0</v>
      </c>
      <c r="CV168">
        <f t="shared" si="146"/>
        <v>101.77499999999999</v>
      </c>
      <c r="CW168">
        <f t="shared" si="146"/>
        <v>0</v>
      </c>
      <c r="CX168">
        <f t="shared" si="146"/>
        <v>0</v>
      </c>
      <c r="CY168">
        <f t="shared" si="147"/>
        <v>38.4</v>
      </c>
      <c r="CZ168">
        <f t="shared" si="148"/>
        <v>18.239999999999998</v>
      </c>
      <c r="DC168" t="s">
        <v>3</v>
      </c>
      <c r="DD168" t="s">
        <v>3</v>
      </c>
      <c r="DE168" t="s">
        <v>11</v>
      </c>
      <c r="DF168" t="s">
        <v>11</v>
      </c>
      <c r="DG168" t="s">
        <v>12</v>
      </c>
      <c r="DH168" t="s">
        <v>3</v>
      </c>
      <c r="DI168" t="s">
        <v>12</v>
      </c>
      <c r="DJ168" t="s">
        <v>11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1013</v>
      </c>
      <c r="DV168" t="s">
        <v>207</v>
      </c>
      <c r="DW168" t="s">
        <v>207</v>
      </c>
      <c r="DX168">
        <v>1</v>
      </c>
      <c r="EE168">
        <v>48752191</v>
      </c>
      <c r="EF168">
        <v>2</v>
      </c>
      <c r="EG168" t="s">
        <v>30</v>
      </c>
      <c r="EH168">
        <v>0</v>
      </c>
      <c r="EI168" t="s">
        <v>3</v>
      </c>
      <c r="EJ168">
        <v>1</v>
      </c>
      <c r="EK168">
        <v>1003</v>
      </c>
      <c r="EL168" t="s">
        <v>209</v>
      </c>
      <c r="EM168" t="s">
        <v>32</v>
      </c>
      <c r="EO168" t="s">
        <v>3</v>
      </c>
      <c r="EQ168">
        <v>131072</v>
      </c>
      <c r="ER168">
        <v>539.85</v>
      </c>
      <c r="ES168">
        <v>0</v>
      </c>
      <c r="ET168">
        <v>0</v>
      </c>
      <c r="EU168">
        <v>0</v>
      </c>
      <c r="EV168">
        <v>539.85</v>
      </c>
      <c r="EW168">
        <v>88.5</v>
      </c>
      <c r="EX168">
        <v>0</v>
      </c>
      <c r="EY168">
        <v>0</v>
      </c>
      <c r="FQ168">
        <v>0</v>
      </c>
      <c r="FR168">
        <f t="shared" si="149"/>
        <v>0</v>
      </c>
      <c r="FS168">
        <v>0</v>
      </c>
      <c r="FU168" t="s">
        <v>33</v>
      </c>
      <c r="FX168">
        <v>80</v>
      </c>
      <c r="FY168">
        <v>38.25</v>
      </c>
      <c r="GA168" t="s">
        <v>3</v>
      </c>
      <c r="GD168">
        <v>1</v>
      </c>
      <c r="GF168">
        <v>-574956848</v>
      </c>
      <c r="GG168">
        <v>2</v>
      </c>
      <c r="GH168">
        <v>0</v>
      </c>
      <c r="GI168">
        <v>0</v>
      </c>
      <c r="GJ168">
        <v>0</v>
      </c>
      <c r="GK168">
        <v>0</v>
      </c>
      <c r="GL168">
        <f t="shared" si="150"/>
        <v>0</v>
      </c>
      <c r="GM168">
        <f t="shared" si="151"/>
        <v>104</v>
      </c>
      <c r="GN168">
        <f t="shared" si="152"/>
        <v>104</v>
      </c>
      <c r="GO168">
        <f t="shared" si="153"/>
        <v>0</v>
      </c>
      <c r="GP168">
        <f t="shared" si="154"/>
        <v>0</v>
      </c>
      <c r="GR168">
        <v>0</v>
      </c>
      <c r="GS168">
        <v>0</v>
      </c>
      <c r="GT168">
        <v>0</v>
      </c>
      <c r="GU168" t="s">
        <v>3</v>
      </c>
      <c r="GV168">
        <f t="shared" si="155"/>
        <v>0</v>
      </c>
      <c r="GW168">
        <v>1</v>
      </c>
      <c r="GX168">
        <f t="shared" si="156"/>
        <v>0</v>
      </c>
      <c r="HA168">
        <v>0</v>
      </c>
      <c r="HB168">
        <v>0</v>
      </c>
      <c r="HC168">
        <f t="shared" si="157"/>
        <v>0</v>
      </c>
      <c r="IK168">
        <v>0</v>
      </c>
    </row>
    <row r="169" spans="1:245" x14ac:dyDescent="0.2">
      <c r="A169">
        <v>17</v>
      </c>
      <c r="B169">
        <v>1</v>
      </c>
      <c r="E169" t="s">
        <v>226</v>
      </c>
      <c r="F169" t="s">
        <v>227</v>
      </c>
      <c r="G169" t="s">
        <v>228</v>
      </c>
      <c r="H169" t="s">
        <v>37</v>
      </c>
      <c r="I169">
        <f>ROUND(I163*100*1.5-I168*100*1.5,4)</f>
        <v>46.545000000000002</v>
      </c>
      <c r="J169">
        <v>0</v>
      </c>
      <c r="O169">
        <f t="shared" si="127"/>
        <v>200</v>
      </c>
      <c r="P169">
        <f t="shared" si="128"/>
        <v>0</v>
      </c>
      <c r="Q169">
        <f t="shared" si="129"/>
        <v>200</v>
      </c>
      <c r="R169">
        <f t="shared" si="130"/>
        <v>0</v>
      </c>
      <c r="S169">
        <f t="shared" si="131"/>
        <v>0</v>
      </c>
      <c r="T169">
        <f t="shared" si="132"/>
        <v>0</v>
      </c>
      <c r="U169">
        <f t="shared" si="133"/>
        <v>0</v>
      </c>
      <c r="V169">
        <f t="shared" si="134"/>
        <v>0</v>
      </c>
      <c r="W169">
        <f t="shared" si="135"/>
        <v>0</v>
      </c>
      <c r="X169">
        <f t="shared" si="136"/>
        <v>0</v>
      </c>
      <c r="Y169">
        <f t="shared" si="136"/>
        <v>0</v>
      </c>
      <c r="AA169">
        <v>50210945</v>
      </c>
      <c r="AB169">
        <f t="shared" si="137"/>
        <v>4.3</v>
      </c>
      <c r="AC169">
        <f t="shared" si="138"/>
        <v>0</v>
      </c>
      <c r="AD169">
        <f>ROUND(((ET169)+ROUND(((EU169)*1.6),2)),1)</f>
        <v>4.3</v>
      </c>
      <c r="AE169">
        <f>ROUND(((EU169)+ROUND(((EU169)*1.6),2)),1)</f>
        <v>0</v>
      </c>
      <c r="AF169">
        <f>ROUND(((EV169)+ROUND(((EV169)*1.6),2)),1)</f>
        <v>0</v>
      </c>
      <c r="AG169">
        <f t="shared" si="139"/>
        <v>0</v>
      </c>
      <c r="AH169">
        <f>(EW169)</f>
        <v>0</v>
      </c>
      <c r="AI169">
        <f>(EX169)</f>
        <v>0</v>
      </c>
      <c r="AJ169">
        <f t="shared" si="140"/>
        <v>0</v>
      </c>
      <c r="AK169">
        <v>4.25</v>
      </c>
      <c r="AL169">
        <v>0</v>
      </c>
      <c r="AM169">
        <v>4.25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0</v>
      </c>
      <c r="BI169">
        <v>1</v>
      </c>
      <c r="BJ169" t="s">
        <v>229</v>
      </c>
      <c r="BM169">
        <v>700004</v>
      </c>
      <c r="BN169">
        <v>0</v>
      </c>
      <c r="BO169" t="s">
        <v>3</v>
      </c>
      <c r="BP169">
        <v>0</v>
      </c>
      <c r="BQ169">
        <v>19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0</v>
      </c>
      <c r="CA169">
        <v>0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41"/>
        <v>200</v>
      </c>
      <c r="CQ169">
        <f t="shared" si="142"/>
        <v>0</v>
      </c>
      <c r="CR169">
        <f t="shared" si="143"/>
        <v>4.3</v>
      </c>
      <c r="CS169">
        <f t="shared" si="144"/>
        <v>0</v>
      </c>
      <c r="CT169">
        <f t="shared" si="145"/>
        <v>0</v>
      </c>
      <c r="CU169">
        <f t="shared" si="146"/>
        <v>0</v>
      </c>
      <c r="CV169">
        <f t="shared" si="146"/>
        <v>0</v>
      </c>
      <c r="CW169">
        <f t="shared" si="146"/>
        <v>0</v>
      </c>
      <c r="CX169">
        <f t="shared" si="146"/>
        <v>0</v>
      </c>
      <c r="CY169">
        <f t="shared" si="147"/>
        <v>0</v>
      </c>
      <c r="CZ169">
        <f t="shared" si="148"/>
        <v>0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1013</v>
      </c>
      <c r="DV169" t="s">
        <v>37</v>
      </c>
      <c r="DW169" t="s">
        <v>37</v>
      </c>
      <c r="DX169">
        <v>1</v>
      </c>
      <c r="EE169">
        <v>48752403</v>
      </c>
      <c r="EF169">
        <v>19</v>
      </c>
      <c r="EG169" t="s">
        <v>39</v>
      </c>
      <c r="EH169">
        <v>0</v>
      </c>
      <c r="EI169" t="s">
        <v>3</v>
      </c>
      <c r="EJ169">
        <v>1</v>
      </c>
      <c r="EK169">
        <v>700004</v>
      </c>
      <c r="EL169" t="s">
        <v>40</v>
      </c>
      <c r="EM169" t="s">
        <v>41</v>
      </c>
      <c r="EO169" t="s">
        <v>3</v>
      </c>
      <c r="EQ169">
        <v>131072</v>
      </c>
      <c r="ER169">
        <v>4.25</v>
      </c>
      <c r="ES169">
        <v>0</v>
      </c>
      <c r="ET169">
        <v>4.25</v>
      </c>
      <c r="EU169">
        <v>0</v>
      </c>
      <c r="EV169">
        <v>0</v>
      </c>
      <c r="EW169">
        <v>0</v>
      </c>
      <c r="EX169">
        <v>0</v>
      </c>
      <c r="EY169">
        <v>0</v>
      </c>
      <c r="FQ169">
        <v>0</v>
      </c>
      <c r="FR169">
        <f t="shared" si="149"/>
        <v>0</v>
      </c>
      <c r="FS169">
        <v>0</v>
      </c>
      <c r="FX169">
        <v>0</v>
      </c>
      <c r="FY169">
        <v>0</v>
      </c>
      <c r="GA169" t="s">
        <v>3</v>
      </c>
      <c r="GD169">
        <v>1</v>
      </c>
      <c r="GF169">
        <v>1644020898</v>
      </c>
      <c r="GG169">
        <v>2</v>
      </c>
      <c r="GH169">
        <v>0</v>
      </c>
      <c r="GI169">
        <v>0</v>
      </c>
      <c r="GJ169">
        <v>0</v>
      </c>
      <c r="GK169">
        <v>0</v>
      </c>
      <c r="GL169">
        <f t="shared" si="150"/>
        <v>0</v>
      </c>
      <c r="GM169">
        <f t="shared" si="151"/>
        <v>200</v>
      </c>
      <c r="GN169">
        <f t="shared" si="152"/>
        <v>200</v>
      </c>
      <c r="GO169">
        <f t="shared" si="153"/>
        <v>0</v>
      </c>
      <c r="GP169">
        <f t="shared" si="154"/>
        <v>0</v>
      </c>
      <c r="GR169">
        <v>0</v>
      </c>
      <c r="GS169">
        <v>0</v>
      </c>
      <c r="GT169">
        <v>0</v>
      </c>
      <c r="GU169" t="s">
        <v>3</v>
      </c>
      <c r="GV169">
        <f t="shared" si="155"/>
        <v>0</v>
      </c>
      <c r="GW169">
        <v>1</v>
      </c>
      <c r="GX169">
        <f t="shared" si="156"/>
        <v>0</v>
      </c>
      <c r="HA169">
        <v>0</v>
      </c>
      <c r="HB169">
        <v>0</v>
      </c>
      <c r="HC169">
        <f t="shared" si="157"/>
        <v>0</v>
      </c>
      <c r="HD169">
        <f>GM169</f>
        <v>200</v>
      </c>
      <c r="IK169">
        <v>0</v>
      </c>
    </row>
    <row r="170" spans="1:245" x14ac:dyDescent="0.2">
      <c r="A170">
        <v>17</v>
      </c>
      <c r="B170">
        <v>1</v>
      </c>
      <c r="E170" t="s">
        <v>230</v>
      </c>
      <c r="F170" t="s">
        <v>65</v>
      </c>
      <c r="G170" t="s">
        <v>66</v>
      </c>
      <c r="H170" t="s">
        <v>37</v>
      </c>
      <c r="I170">
        <f>ROUND(I169,4)</f>
        <v>46.545000000000002</v>
      </c>
      <c r="J170">
        <v>0</v>
      </c>
      <c r="O170">
        <f t="shared" si="127"/>
        <v>312</v>
      </c>
      <c r="P170">
        <f t="shared" si="128"/>
        <v>0</v>
      </c>
      <c r="Q170">
        <f t="shared" si="129"/>
        <v>312</v>
      </c>
      <c r="R170">
        <f t="shared" si="130"/>
        <v>0</v>
      </c>
      <c r="S170">
        <f t="shared" si="131"/>
        <v>0</v>
      </c>
      <c r="T170">
        <f t="shared" si="132"/>
        <v>0</v>
      </c>
      <c r="U170">
        <f t="shared" si="133"/>
        <v>0</v>
      </c>
      <c r="V170">
        <f t="shared" si="134"/>
        <v>0</v>
      </c>
      <c r="W170">
        <f t="shared" si="135"/>
        <v>0</v>
      </c>
      <c r="X170">
        <f t="shared" si="136"/>
        <v>0</v>
      </c>
      <c r="Y170">
        <f t="shared" si="136"/>
        <v>0</v>
      </c>
      <c r="AA170">
        <v>50210945</v>
      </c>
      <c r="AB170">
        <f t="shared" si="137"/>
        <v>6.7</v>
      </c>
      <c r="AC170">
        <f t="shared" si="138"/>
        <v>0</v>
      </c>
      <c r="AD170">
        <f>ROUND(((ET170)+ROUND(((EU170)*1.85),2)),1)</f>
        <v>6.7</v>
      </c>
      <c r="AE170">
        <f>ROUND(((EU170)+ROUND(((EU170)*1.85),2)),1)</f>
        <v>0</v>
      </c>
      <c r="AF170">
        <f>ROUND(((EV170)+ROUND(((EV170)*1.85),2)),1)</f>
        <v>0</v>
      </c>
      <c r="AG170">
        <f t="shared" si="139"/>
        <v>0</v>
      </c>
      <c r="AH170">
        <f>(EW170)</f>
        <v>0</v>
      </c>
      <c r="AI170">
        <f>(EX170)</f>
        <v>0</v>
      </c>
      <c r="AJ170">
        <f t="shared" si="140"/>
        <v>0</v>
      </c>
      <c r="AK170">
        <v>6.65</v>
      </c>
      <c r="AL170">
        <v>0</v>
      </c>
      <c r="AM170">
        <v>6.65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1</v>
      </c>
      <c r="BJ170" t="s">
        <v>67</v>
      </c>
      <c r="BM170">
        <v>700001</v>
      </c>
      <c r="BN170">
        <v>0</v>
      </c>
      <c r="BO170" t="s">
        <v>3</v>
      </c>
      <c r="BP170">
        <v>0</v>
      </c>
      <c r="BQ170">
        <v>10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0</v>
      </c>
      <c r="CA170">
        <v>0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41"/>
        <v>312</v>
      </c>
      <c r="CQ170">
        <f t="shared" si="142"/>
        <v>0</v>
      </c>
      <c r="CR170">
        <f t="shared" si="143"/>
        <v>6.7</v>
      </c>
      <c r="CS170">
        <f t="shared" si="144"/>
        <v>0</v>
      </c>
      <c r="CT170">
        <f t="shared" si="145"/>
        <v>0</v>
      </c>
      <c r="CU170">
        <f t="shared" si="146"/>
        <v>0</v>
      </c>
      <c r="CV170">
        <f t="shared" si="146"/>
        <v>0</v>
      </c>
      <c r="CW170">
        <f t="shared" si="146"/>
        <v>0</v>
      </c>
      <c r="CX170">
        <f t="shared" si="146"/>
        <v>0</v>
      </c>
      <c r="CY170">
        <f t="shared" si="147"/>
        <v>0</v>
      </c>
      <c r="CZ170">
        <f t="shared" si="148"/>
        <v>0</v>
      </c>
      <c r="DC170" t="s">
        <v>3</v>
      </c>
      <c r="DD170" t="s">
        <v>3</v>
      </c>
      <c r="DE170" t="s">
        <v>3</v>
      </c>
      <c r="DF170" t="s">
        <v>3</v>
      </c>
      <c r="DG170" t="s">
        <v>3</v>
      </c>
      <c r="DH170" t="s">
        <v>3</v>
      </c>
      <c r="DI170" t="s">
        <v>3</v>
      </c>
      <c r="DJ170" t="s">
        <v>3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1013</v>
      </c>
      <c r="DV170" t="s">
        <v>37</v>
      </c>
      <c r="DW170" t="s">
        <v>37</v>
      </c>
      <c r="DX170">
        <v>1</v>
      </c>
      <c r="EE170">
        <v>48752153</v>
      </c>
      <c r="EF170">
        <v>10</v>
      </c>
      <c r="EG170" t="s">
        <v>46</v>
      </c>
      <c r="EH170">
        <v>0</v>
      </c>
      <c r="EI170" t="s">
        <v>3</v>
      </c>
      <c r="EJ170">
        <v>1</v>
      </c>
      <c r="EK170">
        <v>700001</v>
      </c>
      <c r="EL170" t="s">
        <v>47</v>
      </c>
      <c r="EM170" t="s">
        <v>48</v>
      </c>
      <c r="EO170" t="s">
        <v>3</v>
      </c>
      <c r="EQ170">
        <v>131072</v>
      </c>
      <c r="ER170">
        <v>6.65</v>
      </c>
      <c r="ES170">
        <v>0</v>
      </c>
      <c r="ET170">
        <v>6.65</v>
      </c>
      <c r="EU170">
        <v>0</v>
      </c>
      <c r="EV170">
        <v>0</v>
      </c>
      <c r="EW170">
        <v>0</v>
      </c>
      <c r="EX170">
        <v>0</v>
      </c>
      <c r="EY170">
        <v>0</v>
      </c>
      <c r="FQ170">
        <v>0</v>
      </c>
      <c r="FR170">
        <f t="shared" si="149"/>
        <v>0</v>
      </c>
      <c r="FS170">
        <v>0</v>
      </c>
      <c r="FX170">
        <v>0</v>
      </c>
      <c r="FY170">
        <v>0</v>
      </c>
      <c r="GA170" t="s">
        <v>3</v>
      </c>
      <c r="GD170">
        <v>1</v>
      </c>
      <c r="GF170">
        <v>-811322024</v>
      </c>
      <c r="GG170">
        <v>2</v>
      </c>
      <c r="GH170">
        <v>0</v>
      </c>
      <c r="GI170">
        <v>0</v>
      </c>
      <c r="GJ170">
        <v>0</v>
      </c>
      <c r="GK170">
        <v>0</v>
      </c>
      <c r="GL170">
        <f t="shared" si="150"/>
        <v>0</v>
      </c>
      <c r="GM170">
        <f t="shared" si="151"/>
        <v>312</v>
      </c>
      <c r="GN170">
        <f t="shared" si="152"/>
        <v>312</v>
      </c>
      <c r="GO170">
        <f t="shared" si="153"/>
        <v>0</v>
      </c>
      <c r="GP170">
        <f t="shared" si="154"/>
        <v>0</v>
      </c>
      <c r="GR170">
        <v>0</v>
      </c>
      <c r="GS170">
        <v>0</v>
      </c>
      <c r="GT170">
        <v>0</v>
      </c>
      <c r="GU170" t="s">
        <v>3</v>
      </c>
      <c r="GV170">
        <f t="shared" si="155"/>
        <v>0</v>
      </c>
      <c r="GW170">
        <v>1</v>
      </c>
      <c r="GX170">
        <f t="shared" si="156"/>
        <v>0</v>
      </c>
      <c r="HA170">
        <v>0</v>
      </c>
      <c r="HB170">
        <v>0</v>
      </c>
      <c r="HC170">
        <f t="shared" si="157"/>
        <v>0</v>
      </c>
      <c r="HD170">
        <f>GM170</f>
        <v>312</v>
      </c>
      <c r="IK170">
        <v>0</v>
      </c>
    </row>
    <row r="172" spans="1:245" x14ac:dyDescent="0.2">
      <c r="A172" s="2">
        <v>51</v>
      </c>
      <c r="B172" s="2">
        <f>B159</f>
        <v>1</v>
      </c>
      <c r="C172" s="2">
        <f>A159</f>
        <v>5</v>
      </c>
      <c r="D172" s="2">
        <f>ROW(A159)</f>
        <v>159</v>
      </c>
      <c r="E172" s="2"/>
      <c r="F172" s="2" t="str">
        <f>IF(F159&lt;&gt;"",F159,"")</f>
        <v>Новый подраздел</v>
      </c>
      <c r="G172" s="2" t="str">
        <f>IF(G159&lt;&gt;"",G159,"")</f>
        <v>Установка бортовых камней БК 100.30.15 - 431м</v>
      </c>
      <c r="H172" s="2">
        <v>0</v>
      </c>
      <c r="I172" s="2"/>
      <c r="J172" s="2"/>
      <c r="K172" s="2"/>
      <c r="L172" s="2"/>
      <c r="M172" s="2"/>
      <c r="N172" s="2"/>
      <c r="O172" s="2">
        <f t="shared" ref="O172:T172" si="158">ROUND(AB172,0)</f>
        <v>45574</v>
      </c>
      <c r="P172" s="2">
        <f t="shared" si="158"/>
        <v>41218</v>
      </c>
      <c r="Q172" s="2">
        <f t="shared" si="158"/>
        <v>1264</v>
      </c>
      <c r="R172" s="2">
        <f t="shared" si="158"/>
        <v>76</v>
      </c>
      <c r="S172" s="2">
        <f t="shared" si="158"/>
        <v>3092</v>
      </c>
      <c r="T172" s="2">
        <f t="shared" si="158"/>
        <v>0</v>
      </c>
      <c r="U172" s="2">
        <f>AH172</f>
        <v>455.84406559999991</v>
      </c>
      <c r="V172" s="2">
        <f>AI172</f>
        <v>5.6616999999999997</v>
      </c>
      <c r="W172" s="2">
        <f>ROUND(AJ172,0)</f>
        <v>0</v>
      </c>
      <c r="X172" s="2">
        <f>ROUND(AK172,0)</f>
        <v>4198</v>
      </c>
      <c r="Y172" s="2">
        <f>ROUND(AL172,0)</f>
        <v>2358</v>
      </c>
      <c r="Z172" s="2"/>
      <c r="AA172" s="2"/>
      <c r="AB172" s="2">
        <f>ROUND(SUMIF(AA163:AA170,"=50210945",O163:O170),0)</f>
        <v>45574</v>
      </c>
      <c r="AC172" s="2">
        <f>ROUND(SUMIF(AA163:AA170,"=50210945",P163:P170),0)</f>
        <v>41218</v>
      </c>
      <c r="AD172" s="2">
        <f>ROUND(SUMIF(AA163:AA170,"=50210945",Q163:Q170),0)</f>
        <v>1264</v>
      </c>
      <c r="AE172" s="2">
        <f>ROUND(SUMIF(AA163:AA170,"=50210945",R163:R170),0)</f>
        <v>76</v>
      </c>
      <c r="AF172" s="2">
        <f>ROUND(SUMIF(AA163:AA170,"=50210945",S163:S170),0)</f>
        <v>3092</v>
      </c>
      <c r="AG172" s="2">
        <f>ROUND(SUMIF(AA163:AA170,"=50210945",T163:T170),0)</f>
        <v>0</v>
      </c>
      <c r="AH172" s="2">
        <f>SUMIF(AA163:AA170,"=50210945",U163:U170)</f>
        <v>455.84406559999991</v>
      </c>
      <c r="AI172" s="2">
        <f>SUMIF(AA163:AA170,"=50210945",V163:V170)</f>
        <v>5.6616999999999997</v>
      </c>
      <c r="AJ172" s="2">
        <f>ROUND(SUMIF(AA163:AA170,"=50210945",W163:W170),0)</f>
        <v>0</v>
      </c>
      <c r="AK172" s="2">
        <f>ROUND(SUMIF(AA163:AA170,"=50210945",X163:X170),0)</f>
        <v>4198</v>
      </c>
      <c r="AL172" s="2">
        <f>ROUND(SUMIF(AA163:AA170,"=50210945",Y163:Y170),0)</f>
        <v>2358</v>
      </c>
      <c r="AM172" s="2"/>
      <c r="AN172" s="2"/>
      <c r="AO172" s="2">
        <f t="shared" ref="AO172:BD172" si="159">ROUND(BX172,0)</f>
        <v>0</v>
      </c>
      <c r="AP172" s="2">
        <f t="shared" si="159"/>
        <v>0</v>
      </c>
      <c r="AQ172" s="2">
        <f t="shared" si="159"/>
        <v>0</v>
      </c>
      <c r="AR172" s="2">
        <f t="shared" si="159"/>
        <v>52130</v>
      </c>
      <c r="AS172" s="2">
        <f t="shared" si="159"/>
        <v>52130</v>
      </c>
      <c r="AT172" s="2">
        <f t="shared" si="159"/>
        <v>0</v>
      </c>
      <c r="AU172" s="2">
        <f t="shared" si="159"/>
        <v>0</v>
      </c>
      <c r="AV172" s="2">
        <f t="shared" si="159"/>
        <v>41218</v>
      </c>
      <c r="AW172" s="2">
        <f t="shared" si="159"/>
        <v>41218</v>
      </c>
      <c r="AX172" s="2">
        <f t="shared" si="159"/>
        <v>0</v>
      </c>
      <c r="AY172" s="2">
        <f t="shared" si="159"/>
        <v>41218</v>
      </c>
      <c r="AZ172" s="2">
        <f t="shared" si="159"/>
        <v>0</v>
      </c>
      <c r="BA172" s="2">
        <f t="shared" si="159"/>
        <v>0</v>
      </c>
      <c r="BB172" s="2">
        <f t="shared" si="159"/>
        <v>0</v>
      </c>
      <c r="BC172" s="2">
        <f t="shared" si="159"/>
        <v>0</v>
      </c>
      <c r="BD172" s="2">
        <f t="shared" si="159"/>
        <v>512</v>
      </c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>
        <f>ROUND(SUMIF(AA163:AA170,"=50210945",FQ163:FQ170),0)</f>
        <v>0</v>
      </c>
      <c r="BY172" s="2">
        <f>ROUND(SUMIF(AA163:AA170,"=50210945",FR163:FR170),0)</f>
        <v>0</v>
      </c>
      <c r="BZ172" s="2">
        <f>ROUND(SUMIF(AA163:AA170,"=50210945",GL163:GL170),0)</f>
        <v>0</v>
      </c>
      <c r="CA172" s="2">
        <f>ROUND(SUMIF(AA163:AA170,"=50210945",GM163:GM170),0)</f>
        <v>52130</v>
      </c>
      <c r="CB172" s="2">
        <f>ROUND(SUMIF(AA163:AA170,"=50210945",GN163:GN170),0)</f>
        <v>52130</v>
      </c>
      <c r="CC172" s="2">
        <f>ROUND(SUMIF(AA163:AA170,"=50210945",GO163:GO170),0)</f>
        <v>0</v>
      </c>
      <c r="CD172" s="2">
        <f>ROUND(SUMIF(AA163:AA170,"=50210945",GP163:GP170),0)</f>
        <v>0</v>
      </c>
      <c r="CE172" s="2">
        <f>AC172-BX172</f>
        <v>41218</v>
      </c>
      <c r="CF172" s="2">
        <f>AC172-BY172</f>
        <v>41218</v>
      </c>
      <c r="CG172" s="2">
        <f>BX172-BZ172</f>
        <v>0</v>
      </c>
      <c r="CH172" s="2">
        <f>AC172-BX172-BY172+BZ172</f>
        <v>41218</v>
      </c>
      <c r="CI172" s="2">
        <f>BY172-BZ172</f>
        <v>0</v>
      </c>
      <c r="CJ172" s="2">
        <f>ROUND(SUMIF(AA163:AA170,"=50210945",GX163:GX170),0)</f>
        <v>0</v>
      </c>
      <c r="CK172" s="2">
        <f>ROUND(SUMIF(AA163:AA170,"=50210945",GY163:GY170),0)</f>
        <v>0</v>
      </c>
      <c r="CL172" s="2">
        <f>ROUND(SUMIF(AA163:AA170,"=50210945",GZ163:GZ170),0)</f>
        <v>0</v>
      </c>
      <c r="CM172" s="2">
        <f>ROUND(SUMIF(AA163:AA170,"=50210945",HD163:HD170),0)</f>
        <v>512</v>
      </c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>
        <v>0</v>
      </c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201</v>
      </c>
      <c r="F174" s="4">
        <f>ROUND(Source!O172,O174)</f>
        <v>45574</v>
      </c>
      <c r="G174" s="4" t="s">
        <v>89</v>
      </c>
      <c r="H174" s="4" t="s">
        <v>90</v>
      </c>
      <c r="I174" s="4"/>
      <c r="J174" s="4"/>
      <c r="K174" s="4">
        <v>201</v>
      </c>
      <c r="L174" s="4">
        <v>1</v>
      </c>
      <c r="M174" s="4">
        <v>3</v>
      </c>
      <c r="N174" s="4" t="s">
        <v>3</v>
      </c>
      <c r="O174" s="4">
        <v>0</v>
      </c>
      <c r="P174" s="4"/>
      <c r="Q174" s="4"/>
      <c r="R174" s="4"/>
      <c r="S174" s="4"/>
      <c r="T174" s="4"/>
      <c r="U174" s="4"/>
      <c r="V174" s="4"/>
      <c r="W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202</v>
      </c>
      <c r="F175" s="4">
        <f>ROUND(Source!P172,O175)</f>
        <v>41218</v>
      </c>
      <c r="G175" s="4" t="s">
        <v>91</v>
      </c>
      <c r="H175" s="4" t="s">
        <v>92</v>
      </c>
      <c r="I175" s="4"/>
      <c r="J175" s="4"/>
      <c r="K175" s="4">
        <v>202</v>
      </c>
      <c r="L175" s="4">
        <v>2</v>
      </c>
      <c r="M175" s="4">
        <v>3</v>
      </c>
      <c r="N175" s="4" t="s">
        <v>3</v>
      </c>
      <c r="O175" s="4">
        <v>0</v>
      </c>
      <c r="P175" s="4"/>
      <c r="Q175" s="4"/>
      <c r="R175" s="4"/>
      <c r="S175" s="4"/>
      <c r="T175" s="4"/>
      <c r="U175" s="4"/>
      <c r="V175" s="4"/>
      <c r="W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222</v>
      </c>
      <c r="F176" s="4">
        <f>ROUND(Source!AO172,O176)</f>
        <v>0</v>
      </c>
      <c r="G176" s="4" t="s">
        <v>93</v>
      </c>
      <c r="H176" s="4" t="s">
        <v>94</v>
      </c>
      <c r="I176" s="4"/>
      <c r="J176" s="4"/>
      <c r="K176" s="4">
        <v>222</v>
      </c>
      <c r="L176" s="4">
        <v>3</v>
      </c>
      <c r="M176" s="4">
        <v>3</v>
      </c>
      <c r="N176" s="4" t="s">
        <v>3</v>
      </c>
      <c r="O176" s="4">
        <v>0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225</v>
      </c>
      <c r="F177" s="4">
        <f>ROUND(Source!AV172,O177)</f>
        <v>41218</v>
      </c>
      <c r="G177" s="4" t="s">
        <v>95</v>
      </c>
      <c r="H177" s="4" t="s">
        <v>96</v>
      </c>
      <c r="I177" s="4"/>
      <c r="J177" s="4"/>
      <c r="K177" s="4">
        <v>225</v>
      </c>
      <c r="L177" s="4">
        <v>4</v>
      </c>
      <c r="M177" s="4">
        <v>3</v>
      </c>
      <c r="N177" s="4" t="s">
        <v>3</v>
      </c>
      <c r="O177" s="4">
        <v>0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226</v>
      </c>
      <c r="F178" s="4">
        <f>ROUND(Source!AW172,O178)</f>
        <v>41218</v>
      </c>
      <c r="G178" s="4" t="s">
        <v>97</v>
      </c>
      <c r="H178" s="4" t="s">
        <v>98</v>
      </c>
      <c r="I178" s="4"/>
      <c r="J178" s="4"/>
      <c r="K178" s="4">
        <v>226</v>
      </c>
      <c r="L178" s="4">
        <v>5</v>
      </c>
      <c r="M178" s="4">
        <v>3</v>
      </c>
      <c r="N178" s="4" t="s">
        <v>3</v>
      </c>
      <c r="O178" s="4">
        <v>0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227</v>
      </c>
      <c r="F179" s="4">
        <f>ROUND(Source!AX172,O179)</f>
        <v>0</v>
      </c>
      <c r="G179" s="4" t="s">
        <v>99</v>
      </c>
      <c r="H179" s="4" t="s">
        <v>100</v>
      </c>
      <c r="I179" s="4"/>
      <c r="J179" s="4"/>
      <c r="K179" s="4">
        <v>227</v>
      </c>
      <c r="L179" s="4">
        <v>6</v>
      </c>
      <c r="M179" s="4">
        <v>3</v>
      </c>
      <c r="N179" s="4" t="s">
        <v>3</v>
      </c>
      <c r="O179" s="4">
        <v>0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228</v>
      </c>
      <c r="F180" s="4">
        <f>ROUND(Source!AY172,O180)</f>
        <v>41218</v>
      </c>
      <c r="G180" s="4" t="s">
        <v>101</v>
      </c>
      <c r="H180" s="4" t="s">
        <v>102</v>
      </c>
      <c r="I180" s="4"/>
      <c r="J180" s="4"/>
      <c r="K180" s="4">
        <v>228</v>
      </c>
      <c r="L180" s="4">
        <v>7</v>
      </c>
      <c r="M180" s="4">
        <v>3</v>
      </c>
      <c r="N180" s="4" t="s">
        <v>3</v>
      </c>
      <c r="O180" s="4">
        <v>0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216</v>
      </c>
      <c r="F181" s="4">
        <f>ROUND(Source!AP172,O181)</f>
        <v>0</v>
      </c>
      <c r="G181" s="4" t="s">
        <v>103</v>
      </c>
      <c r="H181" s="4" t="s">
        <v>104</v>
      </c>
      <c r="I181" s="4"/>
      <c r="J181" s="4"/>
      <c r="K181" s="4">
        <v>216</v>
      </c>
      <c r="L181" s="4">
        <v>8</v>
      </c>
      <c r="M181" s="4">
        <v>3</v>
      </c>
      <c r="N181" s="4" t="s">
        <v>3</v>
      </c>
      <c r="O181" s="4">
        <v>0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223</v>
      </c>
      <c r="F182" s="4">
        <f>ROUND(Source!AQ172,O182)</f>
        <v>0</v>
      </c>
      <c r="G182" s="4" t="s">
        <v>105</v>
      </c>
      <c r="H182" s="4" t="s">
        <v>106</v>
      </c>
      <c r="I182" s="4"/>
      <c r="J182" s="4"/>
      <c r="K182" s="4">
        <v>223</v>
      </c>
      <c r="L182" s="4">
        <v>9</v>
      </c>
      <c r="M182" s="4">
        <v>3</v>
      </c>
      <c r="N182" s="4" t="s">
        <v>3</v>
      </c>
      <c r="O182" s="4">
        <v>0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229</v>
      </c>
      <c r="F183" s="4">
        <f>ROUND(Source!AZ172,O183)</f>
        <v>0</v>
      </c>
      <c r="G183" s="4" t="s">
        <v>107</v>
      </c>
      <c r="H183" s="4" t="s">
        <v>108</v>
      </c>
      <c r="I183" s="4"/>
      <c r="J183" s="4"/>
      <c r="K183" s="4">
        <v>229</v>
      </c>
      <c r="L183" s="4">
        <v>10</v>
      </c>
      <c r="M183" s="4">
        <v>3</v>
      </c>
      <c r="N183" s="4" t="s">
        <v>3</v>
      </c>
      <c r="O183" s="4">
        <v>0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203</v>
      </c>
      <c r="F184" s="4">
        <f>ROUND(Source!Q172,O184)</f>
        <v>1264</v>
      </c>
      <c r="G184" s="4" t="s">
        <v>109</v>
      </c>
      <c r="H184" s="4" t="s">
        <v>110</v>
      </c>
      <c r="I184" s="4"/>
      <c r="J184" s="4"/>
      <c r="K184" s="4">
        <v>203</v>
      </c>
      <c r="L184" s="4">
        <v>11</v>
      </c>
      <c r="M184" s="4">
        <v>3</v>
      </c>
      <c r="N184" s="4" t="s">
        <v>3</v>
      </c>
      <c r="O184" s="4">
        <v>0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231</v>
      </c>
      <c r="F185" s="4">
        <f>ROUND(Source!BB172,O185)</f>
        <v>0</v>
      </c>
      <c r="G185" s="4" t="s">
        <v>111</v>
      </c>
      <c r="H185" s="4" t="s">
        <v>112</v>
      </c>
      <c r="I185" s="4"/>
      <c r="J185" s="4"/>
      <c r="K185" s="4">
        <v>231</v>
      </c>
      <c r="L185" s="4">
        <v>12</v>
      </c>
      <c r="M185" s="4">
        <v>3</v>
      </c>
      <c r="N185" s="4" t="s">
        <v>3</v>
      </c>
      <c r="O185" s="4">
        <v>0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204</v>
      </c>
      <c r="F186" s="4">
        <f>ROUND(Source!R172,O186)</f>
        <v>76</v>
      </c>
      <c r="G186" s="4" t="s">
        <v>113</v>
      </c>
      <c r="H186" s="4" t="s">
        <v>114</v>
      </c>
      <c r="I186" s="4"/>
      <c r="J186" s="4"/>
      <c r="K186" s="4">
        <v>204</v>
      </c>
      <c r="L186" s="4">
        <v>13</v>
      </c>
      <c r="M186" s="4">
        <v>3</v>
      </c>
      <c r="N186" s="4" t="s">
        <v>3</v>
      </c>
      <c r="O186" s="4">
        <v>0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205</v>
      </c>
      <c r="F187" s="4">
        <f>ROUND(Source!S172,O187)</f>
        <v>3092</v>
      </c>
      <c r="G187" s="4" t="s">
        <v>115</v>
      </c>
      <c r="H187" s="4" t="s">
        <v>116</v>
      </c>
      <c r="I187" s="4"/>
      <c r="J187" s="4"/>
      <c r="K187" s="4">
        <v>205</v>
      </c>
      <c r="L187" s="4">
        <v>14</v>
      </c>
      <c r="M187" s="4">
        <v>3</v>
      </c>
      <c r="N187" s="4" t="s">
        <v>3</v>
      </c>
      <c r="O187" s="4">
        <v>0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232</v>
      </c>
      <c r="F188" s="4">
        <f>ROUND(Source!BC172,O188)</f>
        <v>0</v>
      </c>
      <c r="G188" s="4" t="s">
        <v>117</v>
      </c>
      <c r="H188" s="4" t="s">
        <v>118</v>
      </c>
      <c r="I188" s="4"/>
      <c r="J188" s="4"/>
      <c r="K188" s="4">
        <v>232</v>
      </c>
      <c r="L188" s="4">
        <v>15</v>
      </c>
      <c r="M188" s="4">
        <v>3</v>
      </c>
      <c r="N188" s="4" t="s">
        <v>3</v>
      </c>
      <c r="O188" s="4">
        <v>0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214</v>
      </c>
      <c r="F189" s="4">
        <f>ROUND(Source!AS172,O189)</f>
        <v>52130</v>
      </c>
      <c r="G189" s="4" t="s">
        <v>119</v>
      </c>
      <c r="H189" s="4" t="s">
        <v>120</v>
      </c>
      <c r="I189" s="4"/>
      <c r="J189" s="4"/>
      <c r="K189" s="4">
        <v>214</v>
      </c>
      <c r="L189" s="4">
        <v>16</v>
      </c>
      <c r="M189" s="4">
        <v>3</v>
      </c>
      <c r="N189" s="4" t="s">
        <v>3</v>
      </c>
      <c r="O189" s="4">
        <v>0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215</v>
      </c>
      <c r="F190" s="4">
        <f>ROUND(Source!AT172,O190)</f>
        <v>0</v>
      </c>
      <c r="G190" s="4" t="s">
        <v>121</v>
      </c>
      <c r="H190" s="4" t="s">
        <v>122</v>
      </c>
      <c r="I190" s="4"/>
      <c r="J190" s="4"/>
      <c r="K190" s="4">
        <v>215</v>
      </c>
      <c r="L190" s="4">
        <v>17</v>
      </c>
      <c r="M190" s="4">
        <v>3</v>
      </c>
      <c r="N190" s="4" t="s">
        <v>3</v>
      </c>
      <c r="O190" s="4">
        <v>0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217</v>
      </c>
      <c r="F191" s="4">
        <f>ROUND(Source!AU172,O191)</f>
        <v>0</v>
      </c>
      <c r="G191" s="4" t="s">
        <v>123</v>
      </c>
      <c r="H191" s="4" t="s">
        <v>124</v>
      </c>
      <c r="I191" s="4"/>
      <c r="J191" s="4"/>
      <c r="K191" s="4">
        <v>217</v>
      </c>
      <c r="L191" s="4">
        <v>18</v>
      </c>
      <c r="M191" s="4">
        <v>3</v>
      </c>
      <c r="N191" s="4" t="s">
        <v>3</v>
      </c>
      <c r="O191" s="4">
        <v>0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230</v>
      </c>
      <c r="F192" s="4">
        <f>ROUND(Source!BA172,O192)</f>
        <v>0</v>
      </c>
      <c r="G192" s="4" t="s">
        <v>125</v>
      </c>
      <c r="H192" s="4" t="s">
        <v>126</v>
      </c>
      <c r="I192" s="4"/>
      <c r="J192" s="4"/>
      <c r="K192" s="4">
        <v>230</v>
      </c>
      <c r="L192" s="4">
        <v>19</v>
      </c>
      <c r="M192" s="4">
        <v>3</v>
      </c>
      <c r="N192" s="4" t="s">
        <v>3</v>
      </c>
      <c r="O192" s="4">
        <v>0</v>
      </c>
      <c r="P192" s="4"/>
      <c r="Q192" s="4"/>
      <c r="R192" s="4"/>
      <c r="S192" s="4"/>
      <c r="T192" s="4"/>
      <c r="U192" s="4"/>
      <c r="V192" s="4"/>
      <c r="W192" s="4"/>
    </row>
    <row r="193" spans="1:245" x14ac:dyDescent="0.2">
      <c r="A193" s="4">
        <v>50</v>
      </c>
      <c r="B193" s="4">
        <v>0</v>
      </c>
      <c r="C193" s="4">
        <v>0</v>
      </c>
      <c r="D193" s="4">
        <v>1</v>
      </c>
      <c r="E193" s="4">
        <v>206</v>
      </c>
      <c r="F193" s="4">
        <f>ROUND(Source!T172,O193)</f>
        <v>0</v>
      </c>
      <c r="G193" s="4" t="s">
        <v>127</v>
      </c>
      <c r="H193" s="4" t="s">
        <v>128</v>
      </c>
      <c r="I193" s="4"/>
      <c r="J193" s="4"/>
      <c r="K193" s="4">
        <v>206</v>
      </c>
      <c r="L193" s="4">
        <v>20</v>
      </c>
      <c r="M193" s="4">
        <v>3</v>
      </c>
      <c r="N193" s="4" t="s">
        <v>3</v>
      </c>
      <c r="O193" s="4">
        <v>0</v>
      </c>
      <c r="P193" s="4"/>
      <c r="Q193" s="4"/>
      <c r="R193" s="4"/>
      <c r="S193" s="4"/>
      <c r="T193" s="4"/>
      <c r="U193" s="4"/>
      <c r="V193" s="4"/>
      <c r="W193" s="4"/>
    </row>
    <row r="194" spans="1:245" x14ac:dyDescent="0.2">
      <c r="A194" s="4">
        <v>50</v>
      </c>
      <c r="B194" s="4">
        <v>0</v>
      </c>
      <c r="C194" s="4">
        <v>0</v>
      </c>
      <c r="D194" s="4">
        <v>1</v>
      </c>
      <c r="E194" s="4">
        <v>207</v>
      </c>
      <c r="F194" s="4">
        <f>Source!U172</f>
        <v>455.84406559999991</v>
      </c>
      <c r="G194" s="4" t="s">
        <v>129</v>
      </c>
      <c r="H194" s="4" t="s">
        <v>130</v>
      </c>
      <c r="I194" s="4"/>
      <c r="J194" s="4"/>
      <c r="K194" s="4">
        <v>207</v>
      </c>
      <c r="L194" s="4">
        <v>21</v>
      </c>
      <c r="M194" s="4">
        <v>3</v>
      </c>
      <c r="N194" s="4" t="s">
        <v>3</v>
      </c>
      <c r="O194" s="4">
        <v>-1</v>
      </c>
      <c r="P194" s="4"/>
      <c r="Q194" s="4"/>
      <c r="R194" s="4"/>
      <c r="S194" s="4"/>
      <c r="T194" s="4"/>
      <c r="U194" s="4"/>
      <c r="V194" s="4"/>
      <c r="W194" s="4"/>
    </row>
    <row r="195" spans="1:245" x14ac:dyDescent="0.2">
      <c r="A195" s="4">
        <v>50</v>
      </c>
      <c r="B195" s="4">
        <v>0</v>
      </c>
      <c r="C195" s="4">
        <v>0</v>
      </c>
      <c r="D195" s="4">
        <v>1</v>
      </c>
      <c r="E195" s="4">
        <v>208</v>
      </c>
      <c r="F195" s="4">
        <f>Source!V172</f>
        <v>5.6616999999999997</v>
      </c>
      <c r="G195" s="4" t="s">
        <v>131</v>
      </c>
      <c r="H195" s="4" t="s">
        <v>132</v>
      </c>
      <c r="I195" s="4"/>
      <c r="J195" s="4"/>
      <c r="K195" s="4">
        <v>208</v>
      </c>
      <c r="L195" s="4">
        <v>22</v>
      </c>
      <c r="M195" s="4">
        <v>3</v>
      </c>
      <c r="N195" s="4" t="s">
        <v>3</v>
      </c>
      <c r="O195" s="4">
        <v>-1</v>
      </c>
      <c r="P195" s="4"/>
      <c r="Q195" s="4"/>
      <c r="R195" s="4"/>
      <c r="S195" s="4"/>
      <c r="T195" s="4"/>
      <c r="U195" s="4"/>
      <c r="V195" s="4"/>
      <c r="W195" s="4"/>
    </row>
    <row r="196" spans="1:245" x14ac:dyDescent="0.2">
      <c r="A196" s="4">
        <v>50</v>
      </c>
      <c r="B196" s="4">
        <v>0</v>
      </c>
      <c r="C196" s="4">
        <v>0</v>
      </c>
      <c r="D196" s="4">
        <v>1</v>
      </c>
      <c r="E196" s="4">
        <v>209</v>
      </c>
      <c r="F196" s="4">
        <f>ROUND(Source!W172,O196)</f>
        <v>0</v>
      </c>
      <c r="G196" s="4" t="s">
        <v>133</v>
      </c>
      <c r="H196" s="4" t="s">
        <v>134</v>
      </c>
      <c r="I196" s="4"/>
      <c r="J196" s="4"/>
      <c r="K196" s="4">
        <v>209</v>
      </c>
      <c r="L196" s="4">
        <v>23</v>
      </c>
      <c r="M196" s="4">
        <v>3</v>
      </c>
      <c r="N196" s="4" t="s">
        <v>3</v>
      </c>
      <c r="O196" s="4">
        <v>0</v>
      </c>
      <c r="P196" s="4"/>
      <c r="Q196" s="4"/>
      <c r="R196" s="4"/>
      <c r="S196" s="4"/>
      <c r="T196" s="4"/>
      <c r="U196" s="4"/>
      <c r="V196" s="4"/>
      <c r="W196" s="4"/>
    </row>
    <row r="197" spans="1:245" x14ac:dyDescent="0.2">
      <c r="A197" s="4">
        <v>50</v>
      </c>
      <c r="B197" s="4">
        <v>0</v>
      </c>
      <c r="C197" s="4">
        <v>0</v>
      </c>
      <c r="D197" s="4">
        <v>1</v>
      </c>
      <c r="E197" s="4">
        <v>233</v>
      </c>
      <c r="F197" s="4">
        <f>ROUND(Source!BD172,O197)</f>
        <v>512</v>
      </c>
      <c r="G197" s="4" t="s">
        <v>135</v>
      </c>
      <c r="H197" s="4" t="s">
        <v>136</v>
      </c>
      <c r="I197" s="4"/>
      <c r="J197" s="4"/>
      <c r="K197" s="4">
        <v>233</v>
      </c>
      <c r="L197" s="4">
        <v>24</v>
      </c>
      <c r="M197" s="4">
        <v>3</v>
      </c>
      <c r="N197" s="4" t="s">
        <v>3</v>
      </c>
      <c r="O197" s="4">
        <v>0</v>
      </c>
      <c r="P197" s="4"/>
      <c r="Q197" s="4"/>
      <c r="R197" s="4"/>
      <c r="S197" s="4"/>
      <c r="T197" s="4"/>
      <c r="U197" s="4"/>
      <c r="V197" s="4"/>
      <c r="W197" s="4"/>
    </row>
    <row r="198" spans="1:245" x14ac:dyDescent="0.2">
      <c r="A198" s="4">
        <v>50</v>
      </c>
      <c r="B198" s="4">
        <v>0</v>
      </c>
      <c r="C198" s="4">
        <v>0</v>
      </c>
      <c r="D198" s="4">
        <v>1</v>
      </c>
      <c r="E198" s="4">
        <v>210</v>
      </c>
      <c r="F198" s="4">
        <f>ROUND(Source!X172,O198)</f>
        <v>4198</v>
      </c>
      <c r="G198" s="4" t="s">
        <v>137</v>
      </c>
      <c r="H198" s="4" t="s">
        <v>138</v>
      </c>
      <c r="I198" s="4"/>
      <c r="J198" s="4"/>
      <c r="K198" s="4">
        <v>210</v>
      </c>
      <c r="L198" s="4">
        <v>25</v>
      </c>
      <c r="M198" s="4">
        <v>3</v>
      </c>
      <c r="N198" s="4" t="s">
        <v>3</v>
      </c>
      <c r="O198" s="4">
        <v>0</v>
      </c>
      <c r="P198" s="4"/>
      <c r="Q198" s="4"/>
      <c r="R198" s="4"/>
      <c r="S198" s="4"/>
      <c r="T198" s="4"/>
      <c r="U198" s="4"/>
      <c r="V198" s="4"/>
      <c r="W198" s="4"/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211</v>
      </c>
      <c r="F199" s="4">
        <f>ROUND(Source!Y172,O199)</f>
        <v>2358</v>
      </c>
      <c r="G199" s="4" t="s">
        <v>139</v>
      </c>
      <c r="H199" s="4" t="s">
        <v>140</v>
      </c>
      <c r="I199" s="4"/>
      <c r="J199" s="4"/>
      <c r="K199" s="4">
        <v>211</v>
      </c>
      <c r="L199" s="4">
        <v>26</v>
      </c>
      <c r="M199" s="4">
        <v>3</v>
      </c>
      <c r="N199" s="4" t="s">
        <v>3</v>
      </c>
      <c r="O199" s="4">
        <v>0</v>
      </c>
      <c r="P199" s="4"/>
      <c r="Q199" s="4"/>
      <c r="R199" s="4"/>
      <c r="S199" s="4"/>
      <c r="T199" s="4"/>
      <c r="U199" s="4"/>
      <c r="V199" s="4"/>
      <c r="W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224</v>
      </c>
      <c r="F200" s="4">
        <f>ROUND(Source!AR172,O200)</f>
        <v>52130</v>
      </c>
      <c r="G200" s="4" t="s">
        <v>141</v>
      </c>
      <c r="H200" s="4" t="s">
        <v>142</v>
      </c>
      <c r="I200" s="4"/>
      <c r="J200" s="4"/>
      <c r="K200" s="4">
        <v>224</v>
      </c>
      <c r="L200" s="4">
        <v>27</v>
      </c>
      <c r="M200" s="4">
        <v>3</v>
      </c>
      <c r="N200" s="4" t="s">
        <v>3</v>
      </c>
      <c r="O200" s="4">
        <v>0</v>
      </c>
      <c r="P200" s="4"/>
      <c r="Q200" s="4"/>
      <c r="R200" s="4"/>
      <c r="S200" s="4"/>
      <c r="T200" s="4"/>
      <c r="U200" s="4"/>
      <c r="V200" s="4"/>
      <c r="W200" s="4"/>
    </row>
    <row r="202" spans="1:245" x14ac:dyDescent="0.2">
      <c r="A202" s="1">
        <v>5</v>
      </c>
      <c r="B202" s="1">
        <v>1</v>
      </c>
      <c r="C202" s="1"/>
      <c r="D202" s="1">
        <f>ROW(A219)</f>
        <v>219</v>
      </c>
      <c r="E202" s="1"/>
      <c r="F202" s="1" t="s">
        <v>15</v>
      </c>
      <c r="G202" s="1" t="s">
        <v>231</v>
      </c>
      <c r="H202" s="1" t="s">
        <v>3</v>
      </c>
      <c r="I202" s="1">
        <v>0</v>
      </c>
      <c r="J202" s="1"/>
      <c r="K202" s="1">
        <v>-1</v>
      </c>
      <c r="L202" s="1"/>
      <c r="M202" s="1"/>
      <c r="N202" s="1"/>
      <c r="O202" s="1"/>
      <c r="P202" s="1"/>
      <c r="Q202" s="1"/>
      <c r="R202" s="1"/>
      <c r="S202" s="1"/>
      <c r="T202" s="1"/>
      <c r="U202" s="1" t="s">
        <v>3</v>
      </c>
      <c r="V202" s="1">
        <v>0</v>
      </c>
      <c r="W202" s="1"/>
      <c r="X202" s="1"/>
      <c r="Y202" s="1"/>
      <c r="Z202" s="1"/>
      <c r="AA202" s="1"/>
      <c r="AB202" s="1" t="s">
        <v>3</v>
      </c>
      <c r="AC202" s="1" t="s">
        <v>3</v>
      </c>
      <c r="AD202" s="1" t="s">
        <v>3</v>
      </c>
      <c r="AE202" s="1" t="s">
        <v>3</v>
      </c>
      <c r="AF202" s="1" t="s">
        <v>3</v>
      </c>
      <c r="AG202" s="1" t="s">
        <v>3</v>
      </c>
      <c r="AH202" s="1"/>
      <c r="AI202" s="1"/>
      <c r="AJ202" s="1"/>
      <c r="AK202" s="1"/>
      <c r="AL202" s="1"/>
      <c r="AM202" s="1"/>
      <c r="AN202" s="1"/>
      <c r="AO202" s="1"/>
      <c r="AP202" s="1" t="s">
        <v>3</v>
      </c>
      <c r="AQ202" s="1" t="s">
        <v>3</v>
      </c>
      <c r="AR202" s="1" t="s">
        <v>3</v>
      </c>
      <c r="AS202" s="1"/>
      <c r="AT202" s="1"/>
      <c r="AU202" s="1"/>
      <c r="AV202" s="1"/>
      <c r="AW202" s="1"/>
      <c r="AX202" s="1"/>
      <c r="AY202" s="1"/>
      <c r="AZ202" s="1" t="s">
        <v>3</v>
      </c>
      <c r="BA202" s="1"/>
      <c r="BB202" s="1" t="s">
        <v>3</v>
      </c>
      <c r="BC202" s="1" t="s">
        <v>3</v>
      </c>
      <c r="BD202" s="1" t="s">
        <v>11</v>
      </c>
      <c r="BE202" s="1" t="s">
        <v>11</v>
      </c>
      <c r="BF202" s="1" t="s">
        <v>12</v>
      </c>
      <c r="BG202" s="1" t="s">
        <v>3</v>
      </c>
      <c r="BH202" s="1" t="s">
        <v>12</v>
      </c>
      <c r="BI202" s="1" t="s">
        <v>11</v>
      </c>
      <c r="BJ202" s="1" t="s">
        <v>3</v>
      </c>
      <c r="BK202" s="1" t="s">
        <v>3</v>
      </c>
      <c r="BL202" s="1" t="s">
        <v>3</v>
      </c>
      <c r="BM202" s="1" t="s">
        <v>3</v>
      </c>
      <c r="BN202" s="1" t="s">
        <v>11</v>
      </c>
      <c r="BO202" s="1" t="s">
        <v>3</v>
      </c>
      <c r="BP202" s="1" t="s">
        <v>3</v>
      </c>
      <c r="BQ202" s="1"/>
      <c r="BR202" s="1"/>
      <c r="BS202" s="1"/>
      <c r="BT202" s="1"/>
      <c r="BU202" s="1"/>
      <c r="BV202" s="1"/>
      <c r="BW202" s="1"/>
      <c r="BX202" s="1">
        <v>0</v>
      </c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>
        <v>0</v>
      </c>
    </row>
    <row r="204" spans="1:245" x14ac:dyDescent="0.2">
      <c r="A204" s="2">
        <v>52</v>
      </c>
      <c r="B204" s="2">
        <f t="shared" ref="B204:G204" si="160">B219</f>
        <v>1</v>
      </c>
      <c r="C204" s="2">
        <f t="shared" si="160"/>
        <v>5</v>
      </c>
      <c r="D204" s="2">
        <f t="shared" si="160"/>
        <v>202</v>
      </c>
      <c r="E204" s="2">
        <f t="shared" si="160"/>
        <v>0</v>
      </c>
      <c r="F204" s="2" t="str">
        <f t="shared" si="160"/>
        <v>Новый подраздел</v>
      </c>
      <c r="G204" s="2" t="str">
        <f t="shared" si="160"/>
        <v>Установка бортовых камней БК 100.20.8 -365,4м</v>
      </c>
      <c r="H204" s="2"/>
      <c r="I204" s="2"/>
      <c r="J204" s="2"/>
      <c r="K204" s="2"/>
      <c r="L204" s="2"/>
      <c r="M204" s="2"/>
      <c r="N204" s="2"/>
      <c r="O204" s="2">
        <f t="shared" ref="O204:AT204" si="161">O219</f>
        <v>22381</v>
      </c>
      <c r="P204" s="2">
        <f t="shared" si="161"/>
        <v>18813</v>
      </c>
      <c r="Q204" s="2">
        <f t="shared" si="161"/>
        <v>974</v>
      </c>
      <c r="R204" s="2">
        <f t="shared" si="161"/>
        <v>51</v>
      </c>
      <c r="S204" s="2">
        <f t="shared" si="161"/>
        <v>2594</v>
      </c>
      <c r="T204" s="2">
        <f t="shared" si="161"/>
        <v>0</v>
      </c>
      <c r="U204" s="2">
        <f t="shared" si="161"/>
        <v>382.03341319999993</v>
      </c>
      <c r="V204" s="2">
        <f t="shared" si="161"/>
        <v>3.8578000000000001</v>
      </c>
      <c r="W204" s="2">
        <f t="shared" si="161"/>
        <v>0</v>
      </c>
      <c r="X204" s="2">
        <f t="shared" si="161"/>
        <v>3514</v>
      </c>
      <c r="Y204" s="2">
        <f t="shared" si="161"/>
        <v>1975</v>
      </c>
      <c r="Z204" s="2">
        <f t="shared" si="161"/>
        <v>0</v>
      </c>
      <c r="AA204" s="2">
        <f t="shared" si="161"/>
        <v>0</v>
      </c>
      <c r="AB204" s="2">
        <f t="shared" si="161"/>
        <v>22381</v>
      </c>
      <c r="AC204" s="2">
        <f t="shared" si="161"/>
        <v>18813</v>
      </c>
      <c r="AD204" s="2">
        <f t="shared" si="161"/>
        <v>974</v>
      </c>
      <c r="AE204" s="2">
        <f t="shared" si="161"/>
        <v>51</v>
      </c>
      <c r="AF204" s="2">
        <f t="shared" si="161"/>
        <v>2594</v>
      </c>
      <c r="AG204" s="2">
        <f t="shared" si="161"/>
        <v>0</v>
      </c>
      <c r="AH204" s="2">
        <f t="shared" si="161"/>
        <v>382.03341319999993</v>
      </c>
      <c r="AI204" s="2">
        <f t="shared" si="161"/>
        <v>3.8578000000000001</v>
      </c>
      <c r="AJ204" s="2">
        <f t="shared" si="161"/>
        <v>0</v>
      </c>
      <c r="AK204" s="2">
        <f t="shared" si="161"/>
        <v>3514</v>
      </c>
      <c r="AL204" s="2">
        <f t="shared" si="161"/>
        <v>1975</v>
      </c>
      <c r="AM204" s="2">
        <f t="shared" si="161"/>
        <v>0</v>
      </c>
      <c r="AN204" s="2">
        <f t="shared" si="161"/>
        <v>0</v>
      </c>
      <c r="AO204" s="2">
        <f t="shared" si="161"/>
        <v>0</v>
      </c>
      <c r="AP204" s="2">
        <f t="shared" si="161"/>
        <v>0</v>
      </c>
      <c r="AQ204" s="2">
        <f t="shared" si="161"/>
        <v>0</v>
      </c>
      <c r="AR204" s="2">
        <f t="shared" si="161"/>
        <v>27870</v>
      </c>
      <c r="AS204" s="2">
        <f t="shared" si="161"/>
        <v>27870</v>
      </c>
      <c r="AT204" s="2">
        <f t="shared" si="161"/>
        <v>0</v>
      </c>
      <c r="AU204" s="2">
        <f t="shared" ref="AU204:BZ204" si="162">AU219</f>
        <v>0</v>
      </c>
      <c r="AV204" s="2">
        <f t="shared" si="162"/>
        <v>18813</v>
      </c>
      <c r="AW204" s="2">
        <f t="shared" si="162"/>
        <v>18813</v>
      </c>
      <c r="AX204" s="2">
        <f t="shared" si="162"/>
        <v>0</v>
      </c>
      <c r="AY204" s="2">
        <f t="shared" si="162"/>
        <v>18813</v>
      </c>
      <c r="AZ204" s="2">
        <f t="shared" si="162"/>
        <v>0</v>
      </c>
      <c r="BA204" s="2">
        <f t="shared" si="162"/>
        <v>0</v>
      </c>
      <c r="BB204" s="2">
        <f t="shared" si="162"/>
        <v>0</v>
      </c>
      <c r="BC204" s="2">
        <f t="shared" si="162"/>
        <v>0</v>
      </c>
      <c r="BD204" s="2">
        <f t="shared" si="162"/>
        <v>489</v>
      </c>
      <c r="BE204" s="2">
        <f t="shared" si="162"/>
        <v>0</v>
      </c>
      <c r="BF204" s="2">
        <f t="shared" si="162"/>
        <v>0</v>
      </c>
      <c r="BG204" s="2">
        <f t="shared" si="162"/>
        <v>0</v>
      </c>
      <c r="BH204" s="2">
        <f t="shared" si="162"/>
        <v>0</v>
      </c>
      <c r="BI204" s="2">
        <f t="shared" si="162"/>
        <v>0</v>
      </c>
      <c r="BJ204" s="2">
        <f t="shared" si="162"/>
        <v>0</v>
      </c>
      <c r="BK204" s="2">
        <f t="shared" si="162"/>
        <v>0</v>
      </c>
      <c r="BL204" s="2">
        <f t="shared" si="162"/>
        <v>0</v>
      </c>
      <c r="BM204" s="2">
        <f t="shared" si="162"/>
        <v>0</v>
      </c>
      <c r="BN204" s="2">
        <f t="shared" si="162"/>
        <v>0</v>
      </c>
      <c r="BO204" s="2">
        <f t="shared" si="162"/>
        <v>0</v>
      </c>
      <c r="BP204" s="2">
        <f t="shared" si="162"/>
        <v>0</v>
      </c>
      <c r="BQ204" s="2">
        <f t="shared" si="162"/>
        <v>0</v>
      </c>
      <c r="BR204" s="2">
        <f t="shared" si="162"/>
        <v>0</v>
      </c>
      <c r="BS204" s="2">
        <f t="shared" si="162"/>
        <v>0</v>
      </c>
      <c r="BT204" s="2">
        <f t="shared" si="162"/>
        <v>0</v>
      </c>
      <c r="BU204" s="2">
        <f t="shared" si="162"/>
        <v>0</v>
      </c>
      <c r="BV204" s="2">
        <f t="shared" si="162"/>
        <v>0</v>
      </c>
      <c r="BW204" s="2">
        <f t="shared" si="162"/>
        <v>0</v>
      </c>
      <c r="BX204" s="2">
        <f t="shared" si="162"/>
        <v>0</v>
      </c>
      <c r="BY204" s="2">
        <f t="shared" si="162"/>
        <v>0</v>
      </c>
      <c r="BZ204" s="2">
        <f t="shared" si="162"/>
        <v>0</v>
      </c>
      <c r="CA204" s="2">
        <f t="shared" ref="CA204:DF204" si="163">CA219</f>
        <v>27870</v>
      </c>
      <c r="CB204" s="2">
        <f t="shared" si="163"/>
        <v>27870</v>
      </c>
      <c r="CC204" s="2">
        <f t="shared" si="163"/>
        <v>0</v>
      </c>
      <c r="CD204" s="2">
        <f t="shared" si="163"/>
        <v>0</v>
      </c>
      <c r="CE204" s="2">
        <f t="shared" si="163"/>
        <v>18813</v>
      </c>
      <c r="CF204" s="2">
        <f t="shared" si="163"/>
        <v>18813</v>
      </c>
      <c r="CG204" s="2">
        <f t="shared" si="163"/>
        <v>0</v>
      </c>
      <c r="CH204" s="2">
        <f t="shared" si="163"/>
        <v>18813</v>
      </c>
      <c r="CI204" s="2">
        <f t="shared" si="163"/>
        <v>0</v>
      </c>
      <c r="CJ204" s="2">
        <f t="shared" si="163"/>
        <v>0</v>
      </c>
      <c r="CK204" s="2">
        <f t="shared" si="163"/>
        <v>0</v>
      </c>
      <c r="CL204" s="2">
        <f t="shared" si="163"/>
        <v>0</v>
      </c>
      <c r="CM204" s="2">
        <f t="shared" si="163"/>
        <v>489</v>
      </c>
      <c r="CN204" s="2">
        <f t="shared" si="163"/>
        <v>0</v>
      </c>
      <c r="CO204" s="2">
        <f t="shared" si="163"/>
        <v>0</v>
      </c>
      <c r="CP204" s="2">
        <f t="shared" si="163"/>
        <v>0</v>
      </c>
      <c r="CQ204" s="2">
        <f t="shared" si="163"/>
        <v>0</v>
      </c>
      <c r="CR204" s="2">
        <f t="shared" si="163"/>
        <v>0</v>
      </c>
      <c r="CS204" s="2">
        <f t="shared" si="163"/>
        <v>0</v>
      </c>
      <c r="CT204" s="2">
        <f t="shared" si="163"/>
        <v>0</v>
      </c>
      <c r="CU204" s="2">
        <f t="shared" si="163"/>
        <v>0</v>
      </c>
      <c r="CV204" s="2">
        <f t="shared" si="163"/>
        <v>0</v>
      </c>
      <c r="CW204" s="2">
        <f t="shared" si="163"/>
        <v>0</v>
      </c>
      <c r="CX204" s="2">
        <f t="shared" si="163"/>
        <v>0</v>
      </c>
      <c r="CY204" s="2">
        <f t="shared" si="163"/>
        <v>0</v>
      </c>
      <c r="CZ204" s="2">
        <f t="shared" si="163"/>
        <v>0</v>
      </c>
      <c r="DA204" s="2">
        <f t="shared" si="163"/>
        <v>0</v>
      </c>
      <c r="DB204" s="2">
        <f t="shared" si="163"/>
        <v>0</v>
      </c>
      <c r="DC204" s="2">
        <f t="shared" si="163"/>
        <v>0</v>
      </c>
      <c r="DD204" s="2">
        <f t="shared" si="163"/>
        <v>0</v>
      </c>
      <c r="DE204" s="2">
        <f t="shared" si="163"/>
        <v>0</v>
      </c>
      <c r="DF204" s="2">
        <f t="shared" si="163"/>
        <v>0</v>
      </c>
      <c r="DG204" s="3">
        <f t="shared" ref="DG204:EL204" si="164">DG219</f>
        <v>0</v>
      </c>
      <c r="DH204" s="3">
        <f t="shared" si="164"/>
        <v>0</v>
      </c>
      <c r="DI204" s="3">
        <f t="shared" si="164"/>
        <v>0</v>
      </c>
      <c r="DJ204" s="3">
        <f t="shared" si="164"/>
        <v>0</v>
      </c>
      <c r="DK204" s="3">
        <f t="shared" si="164"/>
        <v>0</v>
      </c>
      <c r="DL204" s="3">
        <f t="shared" si="164"/>
        <v>0</v>
      </c>
      <c r="DM204" s="3">
        <f t="shared" si="164"/>
        <v>0</v>
      </c>
      <c r="DN204" s="3">
        <f t="shared" si="164"/>
        <v>0</v>
      </c>
      <c r="DO204" s="3">
        <f t="shared" si="164"/>
        <v>0</v>
      </c>
      <c r="DP204" s="3">
        <f t="shared" si="164"/>
        <v>0</v>
      </c>
      <c r="DQ204" s="3">
        <f t="shared" si="164"/>
        <v>0</v>
      </c>
      <c r="DR204" s="3">
        <f t="shared" si="164"/>
        <v>0</v>
      </c>
      <c r="DS204" s="3">
        <f t="shared" si="164"/>
        <v>0</v>
      </c>
      <c r="DT204" s="3">
        <f t="shared" si="164"/>
        <v>0</v>
      </c>
      <c r="DU204" s="3">
        <f t="shared" si="164"/>
        <v>0</v>
      </c>
      <c r="DV204" s="3">
        <f t="shared" si="164"/>
        <v>0</v>
      </c>
      <c r="DW204" s="3">
        <f t="shared" si="164"/>
        <v>0</v>
      </c>
      <c r="DX204" s="3">
        <f t="shared" si="164"/>
        <v>0</v>
      </c>
      <c r="DY204" s="3">
        <f t="shared" si="164"/>
        <v>0</v>
      </c>
      <c r="DZ204" s="3">
        <f t="shared" si="164"/>
        <v>0</v>
      </c>
      <c r="EA204" s="3">
        <f t="shared" si="164"/>
        <v>0</v>
      </c>
      <c r="EB204" s="3">
        <f t="shared" si="164"/>
        <v>0</v>
      </c>
      <c r="EC204" s="3">
        <f t="shared" si="164"/>
        <v>0</v>
      </c>
      <c r="ED204" s="3">
        <f t="shared" si="164"/>
        <v>0</v>
      </c>
      <c r="EE204" s="3">
        <f t="shared" si="164"/>
        <v>0</v>
      </c>
      <c r="EF204" s="3">
        <f t="shared" si="164"/>
        <v>0</v>
      </c>
      <c r="EG204" s="3">
        <f t="shared" si="164"/>
        <v>0</v>
      </c>
      <c r="EH204" s="3">
        <f t="shared" si="164"/>
        <v>0</v>
      </c>
      <c r="EI204" s="3">
        <f t="shared" si="164"/>
        <v>0</v>
      </c>
      <c r="EJ204" s="3">
        <f t="shared" si="164"/>
        <v>0</v>
      </c>
      <c r="EK204" s="3">
        <f t="shared" si="164"/>
        <v>0</v>
      </c>
      <c r="EL204" s="3">
        <f t="shared" si="164"/>
        <v>0</v>
      </c>
      <c r="EM204" s="3">
        <f t="shared" ref="EM204:FR204" si="165">EM219</f>
        <v>0</v>
      </c>
      <c r="EN204" s="3">
        <f t="shared" si="165"/>
        <v>0</v>
      </c>
      <c r="EO204" s="3">
        <f t="shared" si="165"/>
        <v>0</v>
      </c>
      <c r="EP204" s="3">
        <f t="shared" si="165"/>
        <v>0</v>
      </c>
      <c r="EQ204" s="3">
        <f t="shared" si="165"/>
        <v>0</v>
      </c>
      <c r="ER204" s="3">
        <f t="shared" si="165"/>
        <v>0</v>
      </c>
      <c r="ES204" s="3">
        <f t="shared" si="165"/>
        <v>0</v>
      </c>
      <c r="ET204" s="3">
        <f t="shared" si="165"/>
        <v>0</v>
      </c>
      <c r="EU204" s="3">
        <f t="shared" si="165"/>
        <v>0</v>
      </c>
      <c r="EV204" s="3">
        <f t="shared" si="165"/>
        <v>0</v>
      </c>
      <c r="EW204" s="3">
        <f t="shared" si="165"/>
        <v>0</v>
      </c>
      <c r="EX204" s="3">
        <f t="shared" si="165"/>
        <v>0</v>
      </c>
      <c r="EY204" s="3">
        <f t="shared" si="165"/>
        <v>0</v>
      </c>
      <c r="EZ204" s="3">
        <f t="shared" si="165"/>
        <v>0</v>
      </c>
      <c r="FA204" s="3">
        <f t="shared" si="165"/>
        <v>0</v>
      </c>
      <c r="FB204" s="3">
        <f t="shared" si="165"/>
        <v>0</v>
      </c>
      <c r="FC204" s="3">
        <f t="shared" si="165"/>
        <v>0</v>
      </c>
      <c r="FD204" s="3">
        <f t="shared" si="165"/>
        <v>0</v>
      </c>
      <c r="FE204" s="3">
        <f t="shared" si="165"/>
        <v>0</v>
      </c>
      <c r="FF204" s="3">
        <f t="shared" si="165"/>
        <v>0</v>
      </c>
      <c r="FG204" s="3">
        <f t="shared" si="165"/>
        <v>0</v>
      </c>
      <c r="FH204" s="3">
        <f t="shared" si="165"/>
        <v>0</v>
      </c>
      <c r="FI204" s="3">
        <f t="shared" si="165"/>
        <v>0</v>
      </c>
      <c r="FJ204" s="3">
        <f t="shared" si="165"/>
        <v>0</v>
      </c>
      <c r="FK204" s="3">
        <f t="shared" si="165"/>
        <v>0</v>
      </c>
      <c r="FL204" s="3">
        <f t="shared" si="165"/>
        <v>0</v>
      </c>
      <c r="FM204" s="3">
        <f t="shared" si="165"/>
        <v>0</v>
      </c>
      <c r="FN204" s="3">
        <f t="shared" si="165"/>
        <v>0</v>
      </c>
      <c r="FO204" s="3">
        <f t="shared" si="165"/>
        <v>0</v>
      </c>
      <c r="FP204" s="3">
        <f t="shared" si="165"/>
        <v>0</v>
      </c>
      <c r="FQ204" s="3">
        <f t="shared" si="165"/>
        <v>0</v>
      </c>
      <c r="FR204" s="3">
        <f t="shared" si="165"/>
        <v>0</v>
      </c>
      <c r="FS204" s="3">
        <f t="shared" ref="FS204:GX204" si="166">FS219</f>
        <v>0</v>
      </c>
      <c r="FT204" s="3">
        <f t="shared" si="166"/>
        <v>0</v>
      </c>
      <c r="FU204" s="3">
        <f t="shared" si="166"/>
        <v>0</v>
      </c>
      <c r="FV204" s="3">
        <f t="shared" si="166"/>
        <v>0</v>
      </c>
      <c r="FW204" s="3">
        <f t="shared" si="166"/>
        <v>0</v>
      </c>
      <c r="FX204" s="3">
        <f t="shared" si="166"/>
        <v>0</v>
      </c>
      <c r="FY204" s="3">
        <f t="shared" si="166"/>
        <v>0</v>
      </c>
      <c r="FZ204" s="3">
        <f t="shared" si="166"/>
        <v>0</v>
      </c>
      <c r="GA204" s="3">
        <f t="shared" si="166"/>
        <v>0</v>
      </c>
      <c r="GB204" s="3">
        <f t="shared" si="166"/>
        <v>0</v>
      </c>
      <c r="GC204" s="3">
        <f t="shared" si="166"/>
        <v>0</v>
      </c>
      <c r="GD204" s="3">
        <f t="shared" si="166"/>
        <v>0</v>
      </c>
      <c r="GE204" s="3">
        <f t="shared" si="166"/>
        <v>0</v>
      </c>
      <c r="GF204" s="3">
        <f t="shared" si="166"/>
        <v>0</v>
      </c>
      <c r="GG204" s="3">
        <f t="shared" si="166"/>
        <v>0</v>
      </c>
      <c r="GH204" s="3">
        <f t="shared" si="166"/>
        <v>0</v>
      </c>
      <c r="GI204" s="3">
        <f t="shared" si="166"/>
        <v>0</v>
      </c>
      <c r="GJ204" s="3">
        <f t="shared" si="166"/>
        <v>0</v>
      </c>
      <c r="GK204" s="3">
        <f t="shared" si="166"/>
        <v>0</v>
      </c>
      <c r="GL204" s="3">
        <f t="shared" si="166"/>
        <v>0</v>
      </c>
      <c r="GM204" s="3">
        <f t="shared" si="166"/>
        <v>0</v>
      </c>
      <c r="GN204" s="3">
        <f t="shared" si="166"/>
        <v>0</v>
      </c>
      <c r="GO204" s="3">
        <f t="shared" si="166"/>
        <v>0</v>
      </c>
      <c r="GP204" s="3">
        <f t="shared" si="166"/>
        <v>0</v>
      </c>
      <c r="GQ204" s="3">
        <f t="shared" si="166"/>
        <v>0</v>
      </c>
      <c r="GR204" s="3">
        <f t="shared" si="166"/>
        <v>0</v>
      </c>
      <c r="GS204" s="3">
        <f t="shared" si="166"/>
        <v>0</v>
      </c>
      <c r="GT204" s="3">
        <f t="shared" si="166"/>
        <v>0</v>
      </c>
      <c r="GU204" s="3">
        <f t="shared" si="166"/>
        <v>0</v>
      </c>
      <c r="GV204" s="3">
        <f t="shared" si="166"/>
        <v>0</v>
      </c>
      <c r="GW204" s="3">
        <f t="shared" si="166"/>
        <v>0</v>
      </c>
      <c r="GX204" s="3">
        <f t="shared" si="166"/>
        <v>0</v>
      </c>
    </row>
    <row r="206" spans="1:245" x14ac:dyDescent="0.2">
      <c r="A206">
        <v>17</v>
      </c>
      <c r="B206">
        <v>1</v>
      </c>
      <c r="C206">
        <f>ROW(SmtRes!A110)</f>
        <v>110</v>
      </c>
      <c r="D206">
        <f>ROW(EtalonRes!A109)</f>
        <v>109</v>
      </c>
      <c r="E206" t="s">
        <v>232</v>
      </c>
      <c r="F206" t="s">
        <v>205</v>
      </c>
      <c r="G206" t="s">
        <v>206</v>
      </c>
      <c r="H206" t="s">
        <v>207</v>
      </c>
      <c r="I206">
        <f>ROUND((I209*100*0.09)/100,4)</f>
        <v>0.32890000000000003</v>
      </c>
      <c r="J206">
        <v>0</v>
      </c>
      <c r="O206">
        <f t="shared" ref="O206:O217" si="167">ROUND(CP206,0)</f>
        <v>370</v>
      </c>
      <c r="P206">
        <f t="shared" ref="P206:P217" si="168">ROUND(CQ206*I206,0)</f>
        <v>0</v>
      </c>
      <c r="Q206">
        <f t="shared" ref="Q206:Q217" si="169">ROUND(CR206*I206,0)</f>
        <v>0</v>
      </c>
      <c r="R206">
        <f t="shared" ref="R206:R217" si="170">ROUND(CS206*I206,0)</f>
        <v>0</v>
      </c>
      <c r="S206">
        <f t="shared" ref="S206:S217" si="171">ROUND(CT206*I206,0)</f>
        <v>370</v>
      </c>
      <c r="T206">
        <f t="shared" ref="T206:T217" si="172">ROUND(CU206*I206,0)</f>
        <v>0</v>
      </c>
      <c r="U206">
        <f t="shared" ref="U206:U217" si="173">CV206*I206</f>
        <v>58.248190000000001</v>
      </c>
      <c r="V206">
        <f t="shared" ref="V206:V217" si="174">CW206*I206</f>
        <v>0</v>
      </c>
      <c r="W206">
        <f t="shared" ref="W206:W217" si="175">ROUND(CX206*I206,0)</f>
        <v>0</v>
      </c>
      <c r="X206">
        <f t="shared" ref="X206:X217" si="176">ROUND(CY206,0)</f>
        <v>296</v>
      </c>
      <c r="Y206">
        <f t="shared" ref="Y206:Y217" si="177">ROUND(CZ206,0)</f>
        <v>141</v>
      </c>
      <c r="AA206">
        <v>50210945</v>
      </c>
      <c r="AB206">
        <f t="shared" ref="AB206:AB217" si="178">ROUND((AC206+AD206+AF206),1)</f>
        <v>1124.5999999999999</v>
      </c>
      <c r="AC206">
        <f t="shared" ref="AC206:AC217" si="179">ROUND((ES206),1)</f>
        <v>0</v>
      </c>
      <c r="AD206">
        <f>ROUND(((((ET206*1.25))-((EU206*1.25)))+AE206),1)</f>
        <v>0</v>
      </c>
      <c r="AE206">
        <f>ROUND(((EU206*1.25)),1)</f>
        <v>0</v>
      </c>
      <c r="AF206">
        <f>ROUND(((EV206*1.15)),1)</f>
        <v>1124.5999999999999</v>
      </c>
      <c r="AG206">
        <f t="shared" ref="AG206:AG217" si="180">ROUND((AP206),1)</f>
        <v>0</v>
      </c>
      <c r="AH206">
        <f>((EW206*1.15))</f>
        <v>177.1</v>
      </c>
      <c r="AI206">
        <f>((EX206*1.25))</f>
        <v>0</v>
      </c>
      <c r="AJ206">
        <f t="shared" ref="AJ206:AJ217" si="181">(AS206)</f>
        <v>0</v>
      </c>
      <c r="AK206">
        <v>977.9</v>
      </c>
      <c r="AL206">
        <v>0</v>
      </c>
      <c r="AM206">
        <v>0</v>
      </c>
      <c r="AN206">
        <v>0</v>
      </c>
      <c r="AO206">
        <v>977.9</v>
      </c>
      <c r="AP206">
        <v>0</v>
      </c>
      <c r="AQ206">
        <v>154</v>
      </c>
      <c r="AR206">
        <v>0</v>
      </c>
      <c r="AS206">
        <v>0</v>
      </c>
      <c r="AT206">
        <v>80</v>
      </c>
      <c r="AU206">
        <v>38</v>
      </c>
      <c r="AV206">
        <v>1</v>
      </c>
      <c r="AW206">
        <v>1</v>
      </c>
      <c r="AZ206">
        <v>1</v>
      </c>
      <c r="BA206">
        <v>1</v>
      </c>
      <c r="BB206">
        <v>1</v>
      </c>
      <c r="BC206">
        <v>1</v>
      </c>
      <c r="BD206" t="s">
        <v>3</v>
      </c>
      <c r="BE206" t="s">
        <v>3</v>
      </c>
      <c r="BF206" t="s">
        <v>3</v>
      </c>
      <c r="BG206" t="s">
        <v>3</v>
      </c>
      <c r="BH206">
        <v>0</v>
      </c>
      <c r="BI206">
        <v>1</v>
      </c>
      <c r="BJ206" t="s">
        <v>208</v>
      </c>
      <c r="BM206">
        <v>1003</v>
      </c>
      <c r="BN206">
        <v>0</v>
      </c>
      <c r="BO206" t="s">
        <v>3</v>
      </c>
      <c r="BP206">
        <v>0</v>
      </c>
      <c r="BQ206">
        <v>2</v>
      </c>
      <c r="BR206">
        <v>0</v>
      </c>
      <c r="BS206">
        <v>1</v>
      </c>
      <c r="BT206">
        <v>1</v>
      </c>
      <c r="BU206">
        <v>1</v>
      </c>
      <c r="BV206">
        <v>1</v>
      </c>
      <c r="BW206">
        <v>1</v>
      </c>
      <c r="BX206">
        <v>1</v>
      </c>
      <c r="BY206" t="s">
        <v>3</v>
      </c>
      <c r="BZ206">
        <v>80</v>
      </c>
      <c r="CA206">
        <v>45</v>
      </c>
      <c r="CE206">
        <v>0</v>
      </c>
      <c r="CF206">
        <v>0</v>
      </c>
      <c r="CG206">
        <v>0</v>
      </c>
      <c r="CM206">
        <v>0</v>
      </c>
      <c r="CN206" t="s">
        <v>3</v>
      </c>
      <c r="CO206">
        <v>0</v>
      </c>
      <c r="CP206">
        <f t="shared" ref="CP206:CP217" si="182">(P206+Q206+S206)</f>
        <v>370</v>
      </c>
      <c r="CQ206">
        <f t="shared" ref="CQ206:CQ217" si="183">AC206*BC206</f>
        <v>0</v>
      </c>
      <c r="CR206">
        <f t="shared" ref="CR206:CR217" si="184">AD206*BB206</f>
        <v>0</v>
      </c>
      <c r="CS206">
        <f t="shared" ref="CS206:CS217" si="185">AE206*BS206</f>
        <v>0</v>
      </c>
      <c r="CT206">
        <f t="shared" ref="CT206:CT217" si="186">AF206*BA206</f>
        <v>1124.5999999999999</v>
      </c>
      <c r="CU206">
        <f t="shared" ref="CU206:CU217" si="187">AG206</f>
        <v>0</v>
      </c>
      <c r="CV206">
        <f t="shared" ref="CV206:CV217" si="188">AH206</f>
        <v>177.1</v>
      </c>
      <c r="CW206">
        <f t="shared" ref="CW206:CW217" si="189">AI206</f>
        <v>0</v>
      </c>
      <c r="CX206">
        <f t="shared" ref="CX206:CX217" si="190">AJ206</f>
        <v>0</v>
      </c>
      <c r="CY206">
        <f t="shared" ref="CY206:CY217" si="191">(((S206+R206)*AT206)/100)</f>
        <v>296</v>
      </c>
      <c r="CZ206">
        <f t="shared" ref="CZ206:CZ217" si="192">(((S206+R206)*AU206)/100)</f>
        <v>140.6</v>
      </c>
      <c r="DC206" t="s">
        <v>3</v>
      </c>
      <c r="DD206" t="s">
        <v>3</v>
      </c>
      <c r="DE206" t="s">
        <v>11</v>
      </c>
      <c r="DF206" t="s">
        <v>11</v>
      </c>
      <c r="DG206" t="s">
        <v>12</v>
      </c>
      <c r="DH206" t="s">
        <v>3</v>
      </c>
      <c r="DI206" t="s">
        <v>12</v>
      </c>
      <c r="DJ206" t="s">
        <v>11</v>
      </c>
      <c r="DK206" t="s">
        <v>3</v>
      </c>
      <c r="DL206" t="s">
        <v>3</v>
      </c>
      <c r="DM206" t="s">
        <v>3</v>
      </c>
      <c r="DN206">
        <v>0</v>
      </c>
      <c r="DO206">
        <v>0</v>
      </c>
      <c r="DP206">
        <v>1</v>
      </c>
      <c r="DQ206">
        <v>1</v>
      </c>
      <c r="DU206">
        <v>1013</v>
      </c>
      <c r="DV206" t="s">
        <v>207</v>
      </c>
      <c r="DW206" t="s">
        <v>207</v>
      </c>
      <c r="DX206">
        <v>1</v>
      </c>
      <c r="EE206">
        <v>48752191</v>
      </c>
      <c r="EF206">
        <v>2</v>
      </c>
      <c r="EG206" t="s">
        <v>30</v>
      </c>
      <c r="EH206">
        <v>0</v>
      </c>
      <c r="EI206" t="s">
        <v>3</v>
      </c>
      <c r="EJ206">
        <v>1</v>
      </c>
      <c r="EK206">
        <v>1003</v>
      </c>
      <c r="EL206" t="s">
        <v>209</v>
      </c>
      <c r="EM206" t="s">
        <v>32</v>
      </c>
      <c r="EO206" t="s">
        <v>3</v>
      </c>
      <c r="EQ206">
        <v>131072</v>
      </c>
      <c r="ER206">
        <v>977.9</v>
      </c>
      <c r="ES206">
        <v>0</v>
      </c>
      <c r="ET206">
        <v>0</v>
      </c>
      <c r="EU206">
        <v>0</v>
      </c>
      <c r="EV206">
        <v>977.9</v>
      </c>
      <c r="EW206">
        <v>154</v>
      </c>
      <c r="EX206">
        <v>0</v>
      </c>
      <c r="EY206">
        <v>0</v>
      </c>
      <c r="FQ206">
        <v>0</v>
      </c>
      <c r="FR206">
        <f t="shared" ref="FR206:FR217" si="193">ROUND(IF(AND(BH206=3,BI206=3),P206,0),0)</f>
        <v>0</v>
      </c>
      <c r="FS206">
        <v>0</v>
      </c>
      <c r="FU206" t="s">
        <v>33</v>
      </c>
      <c r="FX206">
        <v>80</v>
      </c>
      <c r="FY206">
        <v>38.25</v>
      </c>
      <c r="GA206" t="s">
        <v>3</v>
      </c>
      <c r="GD206">
        <v>1</v>
      </c>
      <c r="GF206">
        <v>-584945989</v>
      </c>
      <c r="GG206">
        <v>2</v>
      </c>
      <c r="GH206">
        <v>0</v>
      </c>
      <c r="GI206">
        <v>0</v>
      </c>
      <c r="GJ206">
        <v>0</v>
      </c>
      <c r="GK206">
        <v>0</v>
      </c>
      <c r="GL206">
        <f t="shared" ref="GL206:GL217" si="194">ROUND(IF(AND(BH206=3,BI206=3,FS206&lt;&gt;0),P206,0),0)</f>
        <v>0</v>
      </c>
      <c r="GM206">
        <f t="shared" ref="GM206:GM217" si="195">ROUND(O206+X206+Y206,0)+GX206</f>
        <v>807</v>
      </c>
      <c r="GN206">
        <f t="shared" ref="GN206:GN217" si="196">IF(OR(BI206=0,BI206=1),ROUND(O206+X206+Y206,0),0)</f>
        <v>807</v>
      </c>
      <c r="GO206">
        <f t="shared" ref="GO206:GO217" si="197">IF(BI206=2,ROUND(O206+X206+Y206,0),0)</f>
        <v>0</v>
      </c>
      <c r="GP206">
        <f t="shared" ref="GP206:GP217" si="198">IF(BI206=4,ROUND(O206+X206+Y206,0)+GX206,0)</f>
        <v>0</v>
      </c>
      <c r="GR206">
        <v>0</v>
      </c>
      <c r="GS206">
        <v>0</v>
      </c>
      <c r="GT206">
        <v>0</v>
      </c>
      <c r="GU206" t="s">
        <v>3</v>
      </c>
      <c r="GV206">
        <f t="shared" ref="GV206:GV217" si="199">ROUND((GT206),1)</f>
        <v>0</v>
      </c>
      <c r="GW206">
        <v>1</v>
      </c>
      <c r="GX206">
        <f t="shared" ref="GX206:GX217" si="200">ROUND(HC206*I206,0)</f>
        <v>0</v>
      </c>
      <c r="HA206">
        <v>0</v>
      </c>
      <c r="HB206">
        <v>0</v>
      </c>
      <c r="HC206">
        <f t="shared" ref="HC206:HC217" si="201">GV206*GW206</f>
        <v>0</v>
      </c>
      <c r="IK206">
        <v>0</v>
      </c>
    </row>
    <row r="207" spans="1:245" x14ac:dyDescent="0.2">
      <c r="A207">
        <v>17</v>
      </c>
      <c r="B207">
        <v>1</v>
      </c>
      <c r="C207">
        <f>ROW(SmtRes!A119)</f>
        <v>119</v>
      </c>
      <c r="D207">
        <f>ROW(EtalonRes!A118)</f>
        <v>118</v>
      </c>
      <c r="E207" t="s">
        <v>233</v>
      </c>
      <c r="F207" t="s">
        <v>156</v>
      </c>
      <c r="G207" t="s">
        <v>157</v>
      </c>
      <c r="H207" t="s">
        <v>148</v>
      </c>
      <c r="I207">
        <f>ROUND((I209*100*0.1*0.08)/100,4)</f>
        <v>2.92E-2</v>
      </c>
      <c r="J207">
        <v>0</v>
      </c>
      <c r="O207">
        <f t="shared" si="167"/>
        <v>127</v>
      </c>
      <c r="P207">
        <f t="shared" si="168"/>
        <v>0</v>
      </c>
      <c r="Q207">
        <f t="shared" si="169"/>
        <v>122</v>
      </c>
      <c r="R207">
        <f t="shared" si="170"/>
        <v>10</v>
      </c>
      <c r="S207">
        <f t="shared" si="171"/>
        <v>5</v>
      </c>
      <c r="T207">
        <f t="shared" si="172"/>
        <v>0</v>
      </c>
      <c r="U207">
        <f t="shared" si="173"/>
        <v>0.81230020000000003</v>
      </c>
      <c r="V207">
        <f t="shared" si="174"/>
        <v>0.75190000000000001</v>
      </c>
      <c r="W207">
        <f t="shared" si="175"/>
        <v>0</v>
      </c>
      <c r="X207">
        <f t="shared" si="176"/>
        <v>21</v>
      </c>
      <c r="Y207">
        <f t="shared" si="177"/>
        <v>12</v>
      </c>
      <c r="AA207">
        <v>50210945</v>
      </c>
      <c r="AB207">
        <f t="shared" si="178"/>
        <v>4369.3999999999996</v>
      </c>
      <c r="AC207">
        <f t="shared" si="179"/>
        <v>15.8</v>
      </c>
      <c r="AD207">
        <f>ROUND(((((ET207*1.25))-((EU207*1.25)))+AE207),1)</f>
        <v>4170.6000000000004</v>
      </c>
      <c r="AE207">
        <f>ROUND(((EU207*1.25)),1)</f>
        <v>342</v>
      </c>
      <c r="AF207">
        <f>ROUND(((EV207*1.15)),1)</f>
        <v>183</v>
      </c>
      <c r="AG207">
        <f t="shared" si="180"/>
        <v>0</v>
      </c>
      <c r="AH207">
        <f>((EW207*1.15))</f>
        <v>27.8185</v>
      </c>
      <c r="AI207">
        <f>((EX207*1.25))</f>
        <v>25.75</v>
      </c>
      <c r="AJ207">
        <f t="shared" si="181"/>
        <v>0</v>
      </c>
      <c r="AK207">
        <v>3511.43</v>
      </c>
      <c r="AL207">
        <v>15.82</v>
      </c>
      <c r="AM207">
        <v>3336.44</v>
      </c>
      <c r="AN207">
        <v>273.57</v>
      </c>
      <c r="AO207">
        <v>159.16999999999999</v>
      </c>
      <c r="AP207">
        <v>0</v>
      </c>
      <c r="AQ207">
        <v>24.19</v>
      </c>
      <c r="AR207">
        <v>20.6</v>
      </c>
      <c r="AS207">
        <v>0</v>
      </c>
      <c r="AT207">
        <v>142</v>
      </c>
      <c r="AU207">
        <v>81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1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1</v>
      </c>
      <c r="BJ207" t="s">
        <v>158</v>
      </c>
      <c r="BM207">
        <v>27001</v>
      </c>
      <c r="BN207">
        <v>0</v>
      </c>
      <c r="BO207" t="s">
        <v>3</v>
      </c>
      <c r="BP207">
        <v>0</v>
      </c>
      <c r="BQ207">
        <v>2</v>
      </c>
      <c r="BR207">
        <v>0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142</v>
      </c>
      <c r="CA207">
        <v>95</v>
      </c>
      <c r="CE207">
        <v>0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 t="shared" si="182"/>
        <v>127</v>
      </c>
      <c r="CQ207">
        <f t="shared" si="183"/>
        <v>15.8</v>
      </c>
      <c r="CR207">
        <f t="shared" si="184"/>
        <v>4170.6000000000004</v>
      </c>
      <c r="CS207">
        <f t="shared" si="185"/>
        <v>342</v>
      </c>
      <c r="CT207">
        <f t="shared" si="186"/>
        <v>183</v>
      </c>
      <c r="CU207">
        <f t="shared" si="187"/>
        <v>0</v>
      </c>
      <c r="CV207">
        <f t="shared" si="188"/>
        <v>27.8185</v>
      </c>
      <c r="CW207">
        <f t="shared" si="189"/>
        <v>25.75</v>
      </c>
      <c r="CX207">
        <f t="shared" si="190"/>
        <v>0</v>
      </c>
      <c r="CY207">
        <f t="shared" si="191"/>
        <v>21.3</v>
      </c>
      <c r="CZ207">
        <f t="shared" si="192"/>
        <v>12.15</v>
      </c>
      <c r="DC207" t="s">
        <v>3</v>
      </c>
      <c r="DD207" t="s">
        <v>3</v>
      </c>
      <c r="DE207" t="s">
        <v>11</v>
      </c>
      <c r="DF207" t="s">
        <v>11</v>
      </c>
      <c r="DG207" t="s">
        <v>12</v>
      </c>
      <c r="DH207" t="s">
        <v>3</v>
      </c>
      <c r="DI207" t="s">
        <v>12</v>
      </c>
      <c r="DJ207" t="s">
        <v>11</v>
      </c>
      <c r="DK207" t="s">
        <v>3</v>
      </c>
      <c r="DL207" t="s">
        <v>3</v>
      </c>
      <c r="DM207" t="s">
        <v>3</v>
      </c>
      <c r="DN207">
        <v>0</v>
      </c>
      <c r="DO207">
        <v>0</v>
      </c>
      <c r="DP207">
        <v>1</v>
      </c>
      <c r="DQ207">
        <v>1</v>
      </c>
      <c r="DU207">
        <v>1013</v>
      </c>
      <c r="DV207" t="s">
        <v>148</v>
      </c>
      <c r="DW207" t="s">
        <v>148</v>
      </c>
      <c r="DX207">
        <v>1</v>
      </c>
      <c r="EE207">
        <v>48752256</v>
      </c>
      <c r="EF207">
        <v>2</v>
      </c>
      <c r="EG207" t="s">
        <v>30</v>
      </c>
      <c r="EH207">
        <v>0</v>
      </c>
      <c r="EI207" t="s">
        <v>3</v>
      </c>
      <c r="EJ207">
        <v>1</v>
      </c>
      <c r="EK207">
        <v>27001</v>
      </c>
      <c r="EL207" t="s">
        <v>73</v>
      </c>
      <c r="EM207" t="s">
        <v>74</v>
      </c>
      <c r="EO207" t="s">
        <v>3</v>
      </c>
      <c r="EQ207">
        <v>131072</v>
      </c>
      <c r="ER207">
        <v>3511.43</v>
      </c>
      <c r="ES207">
        <v>15.82</v>
      </c>
      <c r="ET207">
        <v>3336.44</v>
      </c>
      <c r="EU207">
        <v>273.57</v>
      </c>
      <c r="EV207">
        <v>159.16999999999999</v>
      </c>
      <c r="EW207">
        <v>24.19</v>
      </c>
      <c r="EX207">
        <v>20.6</v>
      </c>
      <c r="EY207">
        <v>0</v>
      </c>
      <c r="FQ207">
        <v>0</v>
      </c>
      <c r="FR207">
        <f t="shared" si="193"/>
        <v>0</v>
      </c>
      <c r="FS207">
        <v>0</v>
      </c>
      <c r="FU207" t="s">
        <v>33</v>
      </c>
      <c r="FX207">
        <v>142</v>
      </c>
      <c r="FY207">
        <v>80.75</v>
      </c>
      <c r="GA207" t="s">
        <v>3</v>
      </c>
      <c r="GD207">
        <v>1</v>
      </c>
      <c r="GF207">
        <v>-2049045877</v>
      </c>
      <c r="GG207">
        <v>2</v>
      </c>
      <c r="GH207">
        <v>0</v>
      </c>
      <c r="GI207">
        <v>0</v>
      </c>
      <c r="GJ207">
        <v>0</v>
      </c>
      <c r="GK207">
        <v>0</v>
      </c>
      <c r="GL207">
        <f t="shared" si="194"/>
        <v>0</v>
      </c>
      <c r="GM207">
        <f t="shared" si="195"/>
        <v>160</v>
      </c>
      <c r="GN207">
        <f t="shared" si="196"/>
        <v>160</v>
      </c>
      <c r="GO207">
        <f t="shared" si="197"/>
        <v>0</v>
      </c>
      <c r="GP207">
        <f t="shared" si="198"/>
        <v>0</v>
      </c>
      <c r="GR207">
        <v>0</v>
      </c>
      <c r="GS207">
        <v>0</v>
      </c>
      <c r="GT207">
        <v>0</v>
      </c>
      <c r="GU207" t="s">
        <v>3</v>
      </c>
      <c r="GV207">
        <f t="shared" si="199"/>
        <v>0</v>
      </c>
      <c r="GW207">
        <v>1</v>
      </c>
      <c r="GX207">
        <f t="shared" si="200"/>
        <v>0</v>
      </c>
      <c r="HA207">
        <v>0</v>
      </c>
      <c r="HB207">
        <v>0</v>
      </c>
      <c r="HC207">
        <f t="shared" si="201"/>
        <v>0</v>
      </c>
      <c r="IK207">
        <v>0</v>
      </c>
    </row>
    <row r="208" spans="1:245" x14ac:dyDescent="0.2">
      <c r="A208">
        <v>18</v>
      </c>
      <c r="B208">
        <v>1</v>
      </c>
      <c r="C208">
        <v>118</v>
      </c>
      <c r="E208" t="s">
        <v>234</v>
      </c>
      <c r="F208" t="s">
        <v>160</v>
      </c>
      <c r="G208" t="s">
        <v>161</v>
      </c>
      <c r="H208" t="s">
        <v>153</v>
      </c>
      <c r="I208">
        <f>I207*J208</f>
        <v>3.6791999999999998</v>
      </c>
      <c r="J208">
        <v>125.99999999999999</v>
      </c>
      <c r="O208">
        <f t="shared" si="167"/>
        <v>468</v>
      </c>
      <c r="P208">
        <f t="shared" si="168"/>
        <v>468</v>
      </c>
      <c r="Q208">
        <f t="shared" si="169"/>
        <v>0</v>
      </c>
      <c r="R208">
        <f t="shared" si="170"/>
        <v>0</v>
      </c>
      <c r="S208">
        <f t="shared" si="171"/>
        <v>0</v>
      </c>
      <c r="T208">
        <f t="shared" si="172"/>
        <v>0</v>
      </c>
      <c r="U208">
        <f t="shared" si="173"/>
        <v>0</v>
      </c>
      <c r="V208">
        <f t="shared" si="174"/>
        <v>0</v>
      </c>
      <c r="W208">
        <f t="shared" si="175"/>
        <v>0</v>
      </c>
      <c r="X208">
        <f t="shared" si="176"/>
        <v>0</v>
      </c>
      <c r="Y208">
        <f t="shared" si="177"/>
        <v>0</v>
      </c>
      <c r="AA208">
        <v>50210945</v>
      </c>
      <c r="AB208">
        <f t="shared" si="178"/>
        <v>127.2</v>
      </c>
      <c r="AC208">
        <f t="shared" si="179"/>
        <v>127.2</v>
      </c>
      <c r="AD208">
        <f>ROUND((((ET208)-(EU208))+AE208),1)</f>
        <v>0</v>
      </c>
      <c r="AE208">
        <f>ROUND((EU208),1)</f>
        <v>0</v>
      </c>
      <c r="AF208">
        <f>ROUND((EV208),1)</f>
        <v>0</v>
      </c>
      <c r="AG208">
        <f t="shared" si="180"/>
        <v>0</v>
      </c>
      <c r="AH208">
        <f>(EW208)</f>
        <v>0</v>
      </c>
      <c r="AI208">
        <f>(EX208)</f>
        <v>0</v>
      </c>
      <c r="AJ208">
        <f t="shared" si="181"/>
        <v>0</v>
      </c>
      <c r="AK208">
        <v>127.2</v>
      </c>
      <c r="AL208">
        <v>127.2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142</v>
      </c>
      <c r="AU208">
        <v>81</v>
      </c>
      <c r="AV208">
        <v>1</v>
      </c>
      <c r="AW208">
        <v>1</v>
      </c>
      <c r="AZ208">
        <v>1</v>
      </c>
      <c r="BA208">
        <v>1</v>
      </c>
      <c r="BB208">
        <v>1</v>
      </c>
      <c r="BC208">
        <v>1</v>
      </c>
      <c r="BD208" t="s">
        <v>3</v>
      </c>
      <c r="BE208" t="s">
        <v>3</v>
      </c>
      <c r="BF208" t="s">
        <v>3</v>
      </c>
      <c r="BG208" t="s">
        <v>3</v>
      </c>
      <c r="BH208">
        <v>3</v>
      </c>
      <c r="BI208">
        <v>1</v>
      </c>
      <c r="BJ208" t="s">
        <v>162</v>
      </c>
      <c r="BM208">
        <v>27001</v>
      </c>
      <c r="BN208">
        <v>0</v>
      </c>
      <c r="BO208" t="s">
        <v>3</v>
      </c>
      <c r="BP208">
        <v>0</v>
      </c>
      <c r="BQ208">
        <v>2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142</v>
      </c>
      <c r="CA208">
        <v>95</v>
      </c>
      <c r="CE208">
        <v>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si="182"/>
        <v>468</v>
      </c>
      <c r="CQ208">
        <f t="shared" si="183"/>
        <v>127.2</v>
      </c>
      <c r="CR208">
        <f t="shared" si="184"/>
        <v>0</v>
      </c>
      <c r="CS208">
        <f t="shared" si="185"/>
        <v>0</v>
      </c>
      <c r="CT208">
        <f t="shared" si="186"/>
        <v>0</v>
      </c>
      <c r="CU208">
        <f t="shared" si="187"/>
        <v>0</v>
      </c>
      <c r="CV208">
        <f t="shared" si="188"/>
        <v>0</v>
      </c>
      <c r="CW208">
        <f t="shared" si="189"/>
        <v>0</v>
      </c>
      <c r="CX208">
        <f t="shared" si="190"/>
        <v>0</v>
      </c>
      <c r="CY208">
        <f t="shared" si="191"/>
        <v>0</v>
      </c>
      <c r="CZ208">
        <f t="shared" si="192"/>
        <v>0</v>
      </c>
      <c r="DC208" t="s">
        <v>3</v>
      </c>
      <c r="DD208" t="s">
        <v>3</v>
      </c>
      <c r="DE208" t="s">
        <v>3</v>
      </c>
      <c r="DF208" t="s">
        <v>3</v>
      </c>
      <c r="DG208" t="s">
        <v>3</v>
      </c>
      <c r="DH208" t="s">
        <v>3</v>
      </c>
      <c r="DI208" t="s">
        <v>3</v>
      </c>
      <c r="DJ208" t="s">
        <v>3</v>
      </c>
      <c r="DK208" t="s">
        <v>3</v>
      </c>
      <c r="DL208" t="s">
        <v>3</v>
      </c>
      <c r="DM208" t="s">
        <v>3</v>
      </c>
      <c r="DN208">
        <v>0</v>
      </c>
      <c r="DO208">
        <v>0</v>
      </c>
      <c r="DP208">
        <v>1</v>
      </c>
      <c r="DQ208">
        <v>1</v>
      </c>
      <c r="DU208">
        <v>1007</v>
      </c>
      <c r="DV208" t="s">
        <v>153</v>
      </c>
      <c r="DW208" t="s">
        <v>153</v>
      </c>
      <c r="DX208">
        <v>1</v>
      </c>
      <c r="EE208">
        <v>48752256</v>
      </c>
      <c r="EF208">
        <v>2</v>
      </c>
      <c r="EG208" t="s">
        <v>30</v>
      </c>
      <c r="EH208">
        <v>0</v>
      </c>
      <c r="EI208" t="s">
        <v>3</v>
      </c>
      <c r="EJ208">
        <v>1</v>
      </c>
      <c r="EK208">
        <v>27001</v>
      </c>
      <c r="EL208" t="s">
        <v>73</v>
      </c>
      <c r="EM208" t="s">
        <v>74</v>
      </c>
      <c r="EO208" t="s">
        <v>3</v>
      </c>
      <c r="EQ208">
        <v>0</v>
      </c>
      <c r="ER208">
        <v>127.2</v>
      </c>
      <c r="ES208">
        <v>127.2</v>
      </c>
      <c r="ET208">
        <v>0</v>
      </c>
      <c r="EU208">
        <v>0</v>
      </c>
      <c r="EV208">
        <v>0</v>
      </c>
      <c r="EW208">
        <v>0</v>
      </c>
      <c r="EX208">
        <v>0</v>
      </c>
      <c r="FQ208">
        <v>0</v>
      </c>
      <c r="FR208">
        <f t="shared" si="193"/>
        <v>0</v>
      </c>
      <c r="FS208">
        <v>0</v>
      </c>
      <c r="FU208" t="s">
        <v>33</v>
      </c>
      <c r="FX208">
        <v>142</v>
      </c>
      <c r="FY208">
        <v>80.75</v>
      </c>
      <c r="GA208" t="s">
        <v>3</v>
      </c>
      <c r="GD208">
        <v>1</v>
      </c>
      <c r="GF208">
        <v>1276216311</v>
      </c>
      <c r="GG208">
        <v>2</v>
      </c>
      <c r="GH208">
        <v>0</v>
      </c>
      <c r="GI208">
        <v>0</v>
      </c>
      <c r="GJ208">
        <v>0</v>
      </c>
      <c r="GK208">
        <v>0</v>
      </c>
      <c r="GL208">
        <f t="shared" si="194"/>
        <v>0</v>
      </c>
      <c r="GM208">
        <f t="shared" si="195"/>
        <v>468</v>
      </c>
      <c r="GN208">
        <f t="shared" si="196"/>
        <v>468</v>
      </c>
      <c r="GO208">
        <f t="shared" si="197"/>
        <v>0</v>
      </c>
      <c r="GP208">
        <f t="shared" si="198"/>
        <v>0</v>
      </c>
      <c r="GR208">
        <v>0</v>
      </c>
      <c r="GS208">
        <v>0</v>
      </c>
      <c r="GT208">
        <v>0</v>
      </c>
      <c r="GU208" t="s">
        <v>3</v>
      </c>
      <c r="GV208">
        <f t="shared" si="199"/>
        <v>0</v>
      </c>
      <c r="GW208">
        <v>1</v>
      </c>
      <c r="GX208">
        <f t="shared" si="200"/>
        <v>0</v>
      </c>
      <c r="HA208">
        <v>0</v>
      </c>
      <c r="HB208">
        <v>0</v>
      </c>
      <c r="HC208">
        <f t="shared" si="201"/>
        <v>0</v>
      </c>
      <c r="IK208">
        <v>0</v>
      </c>
    </row>
    <row r="209" spans="1:245" x14ac:dyDescent="0.2">
      <c r="A209">
        <v>17</v>
      </c>
      <c r="B209">
        <v>1</v>
      </c>
      <c r="C209">
        <f>ROW(SmtRes!A130)</f>
        <v>130</v>
      </c>
      <c r="D209">
        <f>ROW(EtalonRes!A127)</f>
        <v>127</v>
      </c>
      <c r="E209" t="s">
        <v>235</v>
      </c>
      <c r="F209" t="s">
        <v>213</v>
      </c>
      <c r="G209" t="s">
        <v>214</v>
      </c>
      <c r="H209" t="s">
        <v>215</v>
      </c>
      <c r="I209">
        <f>ROUND(365.4/100,4)</f>
        <v>3.6539999999999999</v>
      </c>
      <c r="J209">
        <v>0</v>
      </c>
      <c r="O209">
        <f t="shared" si="167"/>
        <v>15075</v>
      </c>
      <c r="P209">
        <f t="shared" si="168"/>
        <v>12513</v>
      </c>
      <c r="Q209">
        <f t="shared" si="169"/>
        <v>363</v>
      </c>
      <c r="R209">
        <f t="shared" si="170"/>
        <v>41</v>
      </c>
      <c r="S209">
        <f t="shared" si="171"/>
        <v>2199</v>
      </c>
      <c r="T209">
        <f t="shared" si="172"/>
        <v>0</v>
      </c>
      <c r="U209">
        <f t="shared" si="173"/>
        <v>319.69576799999993</v>
      </c>
      <c r="V209">
        <f t="shared" si="174"/>
        <v>3.1059000000000001</v>
      </c>
      <c r="W209">
        <f t="shared" si="175"/>
        <v>0</v>
      </c>
      <c r="X209">
        <f t="shared" si="176"/>
        <v>3181</v>
      </c>
      <c r="Y209">
        <f t="shared" si="177"/>
        <v>1814</v>
      </c>
      <c r="AA209">
        <v>50210945</v>
      </c>
      <c r="AB209">
        <f t="shared" si="178"/>
        <v>4125.6000000000004</v>
      </c>
      <c r="AC209">
        <f t="shared" si="179"/>
        <v>3424.4</v>
      </c>
      <c r="AD209">
        <f>ROUND(((((ET209*1.25))-((EU209*1.25)))+AE209),1)</f>
        <v>99.3</v>
      </c>
      <c r="AE209">
        <f>ROUND(((EU209*1.25)),1)</f>
        <v>11.3</v>
      </c>
      <c r="AF209">
        <f>ROUND(((EV209*1.15)),1)</f>
        <v>601.9</v>
      </c>
      <c r="AG209">
        <f t="shared" si="180"/>
        <v>0</v>
      </c>
      <c r="AH209">
        <f>((EW209*1.15))</f>
        <v>87.49199999999999</v>
      </c>
      <c r="AI209">
        <f>((EX209*1.25))</f>
        <v>0.85000000000000009</v>
      </c>
      <c r="AJ209">
        <f t="shared" si="181"/>
        <v>0</v>
      </c>
      <c r="AK209">
        <v>4027.26</v>
      </c>
      <c r="AL209">
        <v>3424.38</v>
      </c>
      <c r="AM209">
        <v>79.45</v>
      </c>
      <c r="AN209">
        <v>9.02</v>
      </c>
      <c r="AO209">
        <v>523.42999999999995</v>
      </c>
      <c r="AP209">
        <v>0</v>
      </c>
      <c r="AQ209">
        <v>76.08</v>
      </c>
      <c r="AR209">
        <v>0.68</v>
      </c>
      <c r="AS209">
        <v>0</v>
      </c>
      <c r="AT209">
        <v>142</v>
      </c>
      <c r="AU209">
        <v>81</v>
      </c>
      <c r="AV209">
        <v>1</v>
      </c>
      <c r="AW209">
        <v>1</v>
      </c>
      <c r="AZ209">
        <v>1</v>
      </c>
      <c r="BA209">
        <v>1</v>
      </c>
      <c r="BB209">
        <v>1</v>
      </c>
      <c r="BC209">
        <v>1</v>
      </c>
      <c r="BD209" t="s">
        <v>3</v>
      </c>
      <c r="BE209" t="s">
        <v>3</v>
      </c>
      <c r="BF209" t="s">
        <v>3</v>
      </c>
      <c r="BG209" t="s">
        <v>3</v>
      </c>
      <c r="BH209">
        <v>0</v>
      </c>
      <c r="BI209">
        <v>1</v>
      </c>
      <c r="BJ209" t="s">
        <v>216</v>
      </c>
      <c r="BM209">
        <v>27001</v>
      </c>
      <c r="BN209">
        <v>0</v>
      </c>
      <c r="BO209" t="s">
        <v>3</v>
      </c>
      <c r="BP209">
        <v>0</v>
      </c>
      <c r="BQ209">
        <v>2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142</v>
      </c>
      <c r="CA209">
        <v>95</v>
      </c>
      <c r="CE209">
        <v>0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 t="shared" si="182"/>
        <v>15075</v>
      </c>
      <c r="CQ209">
        <f t="shared" si="183"/>
        <v>3424.4</v>
      </c>
      <c r="CR209">
        <f t="shared" si="184"/>
        <v>99.3</v>
      </c>
      <c r="CS209">
        <f t="shared" si="185"/>
        <v>11.3</v>
      </c>
      <c r="CT209">
        <f t="shared" si="186"/>
        <v>601.9</v>
      </c>
      <c r="CU209">
        <f t="shared" si="187"/>
        <v>0</v>
      </c>
      <c r="CV209">
        <f t="shared" si="188"/>
        <v>87.49199999999999</v>
      </c>
      <c r="CW209">
        <f t="shared" si="189"/>
        <v>0.85000000000000009</v>
      </c>
      <c r="CX209">
        <f t="shared" si="190"/>
        <v>0</v>
      </c>
      <c r="CY209">
        <f t="shared" si="191"/>
        <v>3180.8</v>
      </c>
      <c r="CZ209">
        <f t="shared" si="192"/>
        <v>1814.4</v>
      </c>
      <c r="DC209" t="s">
        <v>3</v>
      </c>
      <c r="DD209" t="s">
        <v>3</v>
      </c>
      <c r="DE209" t="s">
        <v>11</v>
      </c>
      <c r="DF209" t="s">
        <v>11</v>
      </c>
      <c r="DG209" t="s">
        <v>12</v>
      </c>
      <c r="DH209" t="s">
        <v>3</v>
      </c>
      <c r="DI209" t="s">
        <v>12</v>
      </c>
      <c r="DJ209" t="s">
        <v>11</v>
      </c>
      <c r="DK209" t="s">
        <v>3</v>
      </c>
      <c r="DL209" t="s">
        <v>3</v>
      </c>
      <c r="DM209" t="s">
        <v>3</v>
      </c>
      <c r="DN209">
        <v>0</v>
      </c>
      <c r="DO209">
        <v>0</v>
      </c>
      <c r="DP209">
        <v>1</v>
      </c>
      <c r="DQ209">
        <v>1</v>
      </c>
      <c r="DU209">
        <v>1013</v>
      </c>
      <c r="DV209" t="s">
        <v>215</v>
      </c>
      <c r="DW209" t="s">
        <v>215</v>
      </c>
      <c r="DX209">
        <v>1</v>
      </c>
      <c r="EE209">
        <v>48752256</v>
      </c>
      <c r="EF209">
        <v>2</v>
      </c>
      <c r="EG209" t="s">
        <v>30</v>
      </c>
      <c r="EH209">
        <v>0</v>
      </c>
      <c r="EI209" t="s">
        <v>3</v>
      </c>
      <c r="EJ209">
        <v>1</v>
      </c>
      <c r="EK209">
        <v>27001</v>
      </c>
      <c r="EL209" t="s">
        <v>73</v>
      </c>
      <c r="EM209" t="s">
        <v>74</v>
      </c>
      <c r="EO209" t="s">
        <v>3</v>
      </c>
      <c r="EQ209">
        <v>131072</v>
      </c>
      <c r="ER209">
        <v>4027.26</v>
      </c>
      <c r="ES209">
        <v>3424.38</v>
      </c>
      <c r="ET209">
        <v>79.45</v>
      </c>
      <c r="EU209">
        <v>9.02</v>
      </c>
      <c r="EV209">
        <v>523.42999999999995</v>
      </c>
      <c r="EW209">
        <v>76.08</v>
      </c>
      <c r="EX209">
        <v>0.68</v>
      </c>
      <c r="EY209">
        <v>0</v>
      </c>
      <c r="FQ209">
        <v>0</v>
      </c>
      <c r="FR209">
        <f t="shared" si="193"/>
        <v>0</v>
      </c>
      <c r="FS209">
        <v>0</v>
      </c>
      <c r="FU209" t="s">
        <v>33</v>
      </c>
      <c r="FX209">
        <v>142</v>
      </c>
      <c r="FY209">
        <v>80.75</v>
      </c>
      <c r="GA209" t="s">
        <v>3</v>
      </c>
      <c r="GD209">
        <v>1</v>
      </c>
      <c r="GF209">
        <v>625015884</v>
      </c>
      <c r="GG209">
        <v>2</v>
      </c>
      <c r="GH209">
        <v>0</v>
      </c>
      <c r="GI209">
        <v>0</v>
      </c>
      <c r="GJ209">
        <v>0</v>
      </c>
      <c r="GK209">
        <v>0</v>
      </c>
      <c r="GL209">
        <f t="shared" si="194"/>
        <v>0</v>
      </c>
      <c r="GM209">
        <f t="shared" si="195"/>
        <v>20070</v>
      </c>
      <c r="GN209">
        <f t="shared" si="196"/>
        <v>20070</v>
      </c>
      <c r="GO209">
        <f t="shared" si="197"/>
        <v>0</v>
      </c>
      <c r="GP209">
        <f t="shared" si="198"/>
        <v>0</v>
      </c>
      <c r="GR209">
        <v>0</v>
      </c>
      <c r="GS209">
        <v>0</v>
      </c>
      <c r="GT209">
        <v>0</v>
      </c>
      <c r="GU209" t="s">
        <v>3</v>
      </c>
      <c r="GV209">
        <f t="shared" si="199"/>
        <v>0</v>
      </c>
      <c r="GW209">
        <v>1</v>
      </c>
      <c r="GX209">
        <f t="shared" si="200"/>
        <v>0</v>
      </c>
      <c r="HA209">
        <v>0</v>
      </c>
      <c r="HB209">
        <v>0</v>
      </c>
      <c r="HC209">
        <f t="shared" si="201"/>
        <v>0</v>
      </c>
      <c r="IK209">
        <v>0</v>
      </c>
    </row>
    <row r="210" spans="1:245" x14ac:dyDescent="0.2">
      <c r="A210">
        <v>18</v>
      </c>
      <c r="B210">
        <v>1</v>
      </c>
      <c r="C210">
        <v>130</v>
      </c>
      <c r="E210" t="s">
        <v>236</v>
      </c>
      <c r="F210" t="s">
        <v>237</v>
      </c>
      <c r="G210" t="s">
        <v>238</v>
      </c>
      <c r="H210" t="s">
        <v>220</v>
      </c>
      <c r="I210">
        <f>I209*J210</f>
        <v>365.4</v>
      </c>
      <c r="J210">
        <v>100</v>
      </c>
      <c r="O210">
        <f t="shared" si="167"/>
        <v>7564</v>
      </c>
      <c r="P210">
        <f t="shared" si="168"/>
        <v>7564</v>
      </c>
      <c r="Q210">
        <f t="shared" si="169"/>
        <v>0</v>
      </c>
      <c r="R210">
        <f t="shared" si="170"/>
        <v>0</v>
      </c>
      <c r="S210">
        <f t="shared" si="171"/>
        <v>0</v>
      </c>
      <c r="T210">
        <f t="shared" si="172"/>
        <v>0</v>
      </c>
      <c r="U210">
        <f t="shared" si="173"/>
        <v>0</v>
      </c>
      <c r="V210">
        <f t="shared" si="174"/>
        <v>0</v>
      </c>
      <c r="W210">
        <f t="shared" si="175"/>
        <v>0</v>
      </c>
      <c r="X210">
        <f t="shared" si="176"/>
        <v>0</v>
      </c>
      <c r="Y210">
        <f t="shared" si="177"/>
        <v>0</v>
      </c>
      <c r="AA210">
        <v>50210945</v>
      </c>
      <c r="AB210">
        <f t="shared" si="178"/>
        <v>20.7</v>
      </c>
      <c r="AC210">
        <f t="shared" si="179"/>
        <v>20.7</v>
      </c>
      <c r="AD210">
        <f>ROUND((((ET210)-(EU210))+AE210),1)</f>
        <v>0</v>
      </c>
      <c r="AE210">
        <f t="shared" ref="AE210:AF214" si="202">ROUND((EU210),1)</f>
        <v>0</v>
      </c>
      <c r="AF210">
        <f t="shared" si="202"/>
        <v>0</v>
      </c>
      <c r="AG210">
        <f t="shared" si="180"/>
        <v>0</v>
      </c>
      <c r="AH210">
        <f t="shared" ref="AH210:AI214" si="203">(EW210)</f>
        <v>0</v>
      </c>
      <c r="AI210">
        <f t="shared" si="203"/>
        <v>0</v>
      </c>
      <c r="AJ210">
        <f t="shared" si="181"/>
        <v>0</v>
      </c>
      <c r="AK210">
        <v>20.71</v>
      </c>
      <c r="AL210">
        <v>20.71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142</v>
      </c>
      <c r="AU210">
        <v>81</v>
      </c>
      <c r="AV210">
        <v>1</v>
      </c>
      <c r="AW210">
        <v>1</v>
      </c>
      <c r="AZ210">
        <v>1</v>
      </c>
      <c r="BA210">
        <v>1</v>
      </c>
      <c r="BB210">
        <v>1</v>
      </c>
      <c r="BC210">
        <v>1</v>
      </c>
      <c r="BD210" t="s">
        <v>3</v>
      </c>
      <c r="BE210" t="s">
        <v>3</v>
      </c>
      <c r="BF210" t="s">
        <v>3</v>
      </c>
      <c r="BG210" t="s">
        <v>3</v>
      </c>
      <c r="BH210">
        <v>3</v>
      </c>
      <c r="BI210">
        <v>1</v>
      </c>
      <c r="BJ210" t="s">
        <v>239</v>
      </c>
      <c r="BM210">
        <v>27001</v>
      </c>
      <c r="BN210">
        <v>0</v>
      </c>
      <c r="BO210" t="s">
        <v>3</v>
      </c>
      <c r="BP210">
        <v>0</v>
      </c>
      <c r="BQ210">
        <v>2</v>
      </c>
      <c r="BR210">
        <v>0</v>
      </c>
      <c r="BS210">
        <v>1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142</v>
      </c>
      <c r="CA210">
        <v>95</v>
      </c>
      <c r="CE210">
        <v>0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 t="shared" si="182"/>
        <v>7564</v>
      </c>
      <c r="CQ210">
        <f t="shared" si="183"/>
        <v>20.7</v>
      </c>
      <c r="CR210">
        <f t="shared" si="184"/>
        <v>0</v>
      </c>
      <c r="CS210">
        <f t="shared" si="185"/>
        <v>0</v>
      </c>
      <c r="CT210">
        <f t="shared" si="186"/>
        <v>0</v>
      </c>
      <c r="CU210">
        <f t="shared" si="187"/>
        <v>0</v>
      </c>
      <c r="CV210">
        <f t="shared" si="188"/>
        <v>0</v>
      </c>
      <c r="CW210">
        <f t="shared" si="189"/>
        <v>0</v>
      </c>
      <c r="CX210">
        <f t="shared" si="190"/>
        <v>0</v>
      </c>
      <c r="CY210">
        <f t="shared" si="191"/>
        <v>0</v>
      </c>
      <c r="CZ210">
        <f t="shared" si="192"/>
        <v>0</v>
      </c>
      <c r="DC210" t="s">
        <v>3</v>
      </c>
      <c r="DD210" t="s">
        <v>3</v>
      </c>
      <c r="DE210" t="s">
        <v>3</v>
      </c>
      <c r="DF210" t="s">
        <v>3</v>
      </c>
      <c r="DG210" t="s">
        <v>3</v>
      </c>
      <c r="DH210" t="s">
        <v>3</v>
      </c>
      <c r="DI210" t="s">
        <v>3</v>
      </c>
      <c r="DJ210" t="s">
        <v>3</v>
      </c>
      <c r="DK210" t="s">
        <v>3</v>
      </c>
      <c r="DL210" t="s">
        <v>3</v>
      </c>
      <c r="DM210" t="s">
        <v>3</v>
      </c>
      <c r="DN210">
        <v>0</v>
      </c>
      <c r="DO210">
        <v>0</v>
      </c>
      <c r="DP210">
        <v>1</v>
      </c>
      <c r="DQ210">
        <v>1</v>
      </c>
      <c r="DU210">
        <v>1010</v>
      </c>
      <c r="DV210" t="s">
        <v>220</v>
      </c>
      <c r="DW210" t="s">
        <v>220</v>
      </c>
      <c r="DX210">
        <v>1</v>
      </c>
      <c r="EE210">
        <v>48752256</v>
      </c>
      <c r="EF210">
        <v>2</v>
      </c>
      <c r="EG210" t="s">
        <v>30</v>
      </c>
      <c r="EH210">
        <v>0</v>
      </c>
      <c r="EI210" t="s">
        <v>3</v>
      </c>
      <c r="EJ210">
        <v>1</v>
      </c>
      <c r="EK210">
        <v>27001</v>
      </c>
      <c r="EL210" t="s">
        <v>73</v>
      </c>
      <c r="EM210" t="s">
        <v>74</v>
      </c>
      <c r="EO210" t="s">
        <v>3</v>
      </c>
      <c r="EQ210">
        <v>0</v>
      </c>
      <c r="ER210">
        <v>20.71</v>
      </c>
      <c r="ES210">
        <v>20.71</v>
      </c>
      <c r="ET210">
        <v>0</v>
      </c>
      <c r="EU210">
        <v>0</v>
      </c>
      <c r="EV210">
        <v>0</v>
      </c>
      <c r="EW210">
        <v>0</v>
      </c>
      <c r="EX210">
        <v>0</v>
      </c>
      <c r="FQ210">
        <v>0</v>
      </c>
      <c r="FR210">
        <f t="shared" si="193"/>
        <v>0</v>
      </c>
      <c r="FS210">
        <v>0</v>
      </c>
      <c r="FU210" t="s">
        <v>33</v>
      </c>
      <c r="FX210">
        <v>142</v>
      </c>
      <c r="FY210">
        <v>80.75</v>
      </c>
      <c r="GA210" t="s">
        <v>3</v>
      </c>
      <c r="GD210">
        <v>1</v>
      </c>
      <c r="GF210">
        <v>-892694326</v>
      </c>
      <c r="GG210">
        <v>2</v>
      </c>
      <c r="GH210">
        <v>0</v>
      </c>
      <c r="GI210">
        <v>0</v>
      </c>
      <c r="GJ210">
        <v>0</v>
      </c>
      <c r="GK210">
        <v>0</v>
      </c>
      <c r="GL210">
        <f t="shared" si="194"/>
        <v>0</v>
      </c>
      <c r="GM210">
        <f t="shared" si="195"/>
        <v>7564</v>
      </c>
      <c r="GN210">
        <f t="shared" si="196"/>
        <v>7564</v>
      </c>
      <c r="GO210">
        <f t="shared" si="197"/>
        <v>0</v>
      </c>
      <c r="GP210">
        <f t="shared" si="198"/>
        <v>0</v>
      </c>
      <c r="GR210">
        <v>0</v>
      </c>
      <c r="GS210">
        <v>0</v>
      </c>
      <c r="GT210">
        <v>0</v>
      </c>
      <c r="GU210" t="s">
        <v>3</v>
      </c>
      <c r="GV210">
        <f t="shared" si="199"/>
        <v>0</v>
      </c>
      <c r="GW210">
        <v>1</v>
      </c>
      <c r="GX210">
        <f t="shared" si="200"/>
        <v>0</v>
      </c>
      <c r="HA210">
        <v>0</v>
      </c>
      <c r="HB210">
        <v>0</v>
      </c>
      <c r="HC210">
        <f t="shared" si="201"/>
        <v>0</v>
      </c>
      <c r="IK210">
        <v>0</v>
      </c>
    </row>
    <row r="211" spans="1:245" x14ac:dyDescent="0.2">
      <c r="A211">
        <v>18</v>
      </c>
      <c r="B211">
        <v>1</v>
      </c>
      <c r="C211">
        <v>126</v>
      </c>
      <c r="E211" t="s">
        <v>240</v>
      </c>
      <c r="F211" t="s">
        <v>241</v>
      </c>
      <c r="G211" t="s">
        <v>242</v>
      </c>
      <c r="H211" t="s">
        <v>153</v>
      </c>
      <c r="I211">
        <f>I209*J211</f>
        <v>-21.558599999999998</v>
      </c>
      <c r="J211">
        <v>-5.8999999999999995</v>
      </c>
      <c r="O211">
        <f t="shared" si="167"/>
        <v>-11862</v>
      </c>
      <c r="P211">
        <f t="shared" si="168"/>
        <v>-11862</v>
      </c>
      <c r="Q211">
        <f t="shared" si="169"/>
        <v>0</v>
      </c>
      <c r="R211">
        <f t="shared" si="170"/>
        <v>0</v>
      </c>
      <c r="S211">
        <f t="shared" si="171"/>
        <v>0</v>
      </c>
      <c r="T211">
        <f t="shared" si="172"/>
        <v>0</v>
      </c>
      <c r="U211">
        <f t="shared" si="173"/>
        <v>0</v>
      </c>
      <c r="V211">
        <f t="shared" si="174"/>
        <v>0</v>
      </c>
      <c r="W211">
        <f t="shared" si="175"/>
        <v>0</v>
      </c>
      <c r="X211">
        <f t="shared" si="176"/>
        <v>0</v>
      </c>
      <c r="Y211">
        <f t="shared" si="177"/>
        <v>0</v>
      </c>
      <c r="AA211">
        <v>50210945</v>
      </c>
      <c r="AB211">
        <f t="shared" si="178"/>
        <v>550.20000000000005</v>
      </c>
      <c r="AC211">
        <f t="shared" si="179"/>
        <v>550.20000000000005</v>
      </c>
      <c r="AD211">
        <f>ROUND((((ET211)-(EU211))+AE211),1)</f>
        <v>0</v>
      </c>
      <c r="AE211">
        <f t="shared" si="202"/>
        <v>0</v>
      </c>
      <c r="AF211">
        <f t="shared" si="202"/>
        <v>0</v>
      </c>
      <c r="AG211">
        <f t="shared" si="180"/>
        <v>0</v>
      </c>
      <c r="AH211">
        <f t="shared" si="203"/>
        <v>0</v>
      </c>
      <c r="AI211">
        <f t="shared" si="203"/>
        <v>0</v>
      </c>
      <c r="AJ211">
        <f t="shared" si="181"/>
        <v>0</v>
      </c>
      <c r="AK211">
        <v>550.19000000000005</v>
      </c>
      <c r="AL211">
        <v>550.19000000000005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142</v>
      </c>
      <c r="AU211">
        <v>81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3</v>
      </c>
      <c r="BI211">
        <v>1</v>
      </c>
      <c r="BJ211" t="s">
        <v>243</v>
      </c>
      <c r="BM211">
        <v>27001</v>
      </c>
      <c r="BN211">
        <v>0</v>
      </c>
      <c r="BO211" t="s">
        <v>3</v>
      </c>
      <c r="BP211">
        <v>0</v>
      </c>
      <c r="BQ211">
        <v>2</v>
      </c>
      <c r="BR211">
        <v>1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142</v>
      </c>
      <c r="CA211">
        <v>95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si="182"/>
        <v>-11862</v>
      </c>
      <c r="CQ211">
        <f t="shared" si="183"/>
        <v>550.20000000000005</v>
      </c>
      <c r="CR211">
        <f t="shared" si="184"/>
        <v>0</v>
      </c>
      <c r="CS211">
        <f t="shared" si="185"/>
        <v>0</v>
      </c>
      <c r="CT211">
        <f t="shared" si="186"/>
        <v>0</v>
      </c>
      <c r="CU211">
        <f t="shared" si="187"/>
        <v>0</v>
      </c>
      <c r="CV211">
        <f t="shared" si="188"/>
        <v>0</v>
      </c>
      <c r="CW211">
        <f t="shared" si="189"/>
        <v>0</v>
      </c>
      <c r="CX211">
        <f t="shared" si="190"/>
        <v>0</v>
      </c>
      <c r="CY211">
        <f t="shared" si="191"/>
        <v>0</v>
      </c>
      <c r="CZ211">
        <f t="shared" si="192"/>
        <v>0</v>
      </c>
      <c r="DC211" t="s">
        <v>3</v>
      </c>
      <c r="DD211" t="s">
        <v>3</v>
      </c>
      <c r="DE211" t="s">
        <v>3</v>
      </c>
      <c r="DF211" t="s">
        <v>3</v>
      </c>
      <c r="DG211" t="s">
        <v>3</v>
      </c>
      <c r="DH211" t="s">
        <v>3</v>
      </c>
      <c r="DI211" t="s">
        <v>3</v>
      </c>
      <c r="DJ211" t="s">
        <v>3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1007</v>
      </c>
      <c r="DV211" t="s">
        <v>153</v>
      </c>
      <c r="DW211" t="s">
        <v>153</v>
      </c>
      <c r="DX211">
        <v>1</v>
      </c>
      <c r="EE211">
        <v>48752256</v>
      </c>
      <c r="EF211">
        <v>2</v>
      </c>
      <c r="EG211" t="s">
        <v>30</v>
      </c>
      <c r="EH211">
        <v>0</v>
      </c>
      <c r="EI211" t="s">
        <v>3</v>
      </c>
      <c r="EJ211">
        <v>1</v>
      </c>
      <c r="EK211">
        <v>27001</v>
      </c>
      <c r="EL211" t="s">
        <v>73</v>
      </c>
      <c r="EM211" t="s">
        <v>74</v>
      </c>
      <c r="EO211" t="s">
        <v>3</v>
      </c>
      <c r="EQ211">
        <v>0</v>
      </c>
      <c r="ER211">
        <v>550.19000000000005</v>
      </c>
      <c r="ES211">
        <v>550.19000000000005</v>
      </c>
      <c r="ET211">
        <v>0</v>
      </c>
      <c r="EU211">
        <v>0</v>
      </c>
      <c r="EV211">
        <v>0</v>
      </c>
      <c r="EW211">
        <v>0</v>
      </c>
      <c r="EX211">
        <v>0</v>
      </c>
      <c r="FQ211">
        <v>0</v>
      </c>
      <c r="FR211">
        <f t="shared" si="193"/>
        <v>0</v>
      </c>
      <c r="FS211">
        <v>0</v>
      </c>
      <c r="FU211" t="s">
        <v>33</v>
      </c>
      <c r="FX211">
        <v>142</v>
      </c>
      <c r="FY211">
        <v>80.75</v>
      </c>
      <c r="GA211" t="s">
        <v>3</v>
      </c>
      <c r="GD211">
        <v>1</v>
      </c>
      <c r="GF211">
        <v>-452102078</v>
      </c>
      <c r="GG211">
        <v>2</v>
      </c>
      <c r="GH211">
        <v>0</v>
      </c>
      <c r="GI211">
        <v>0</v>
      </c>
      <c r="GJ211">
        <v>0</v>
      </c>
      <c r="GK211">
        <v>0</v>
      </c>
      <c r="GL211">
        <f t="shared" si="194"/>
        <v>0</v>
      </c>
      <c r="GM211">
        <f t="shared" si="195"/>
        <v>-11862</v>
      </c>
      <c r="GN211">
        <f t="shared" si="196"/>
        <v>-11862</v>
      </c>
      <c r="GO211">
        <f t="shared" si="197"/>
        <v>0</v>
      </c>
      <c r="GP211">
        <f t="shared" si="198"/>
        <v>0</v>
      </c>
      <c r="GR211">
        <v>0</v>
      </c>
      <c r="GS211">
        <v>0</v>
      </c>
      <c r="GT211">
        <v>0</v>
      </c>
      <c r="GU211" t="s">
        <v>3</v>
      </c>
      <c r="GV211">
        <f t="shared" si="199"/>
        <v>0</v>
      </c>
      <c r="GW211">
        <v>1</v>
      </c>
      <c r="GX211">
        <f t="shared" si="200"/>
        <v>0</v>
      </c>
      <c r="HA211">
        <v>0</v>
      </c>
      <c r="HB211">
        <v>0</v>
      </c>
      <c r="HC211">
        <f t="shared" si="201"/>
        <v>0</v>
      </c>
      <c r="IK211">
        <v>0</v>
      </c>
    </row>
    <row r="212" spans="1:245" x14ac:dyDescent="0.2">
      <c r="A212">
        <v>18</v>
      </c>
      <c r="B212">
        <v>1</v>
      </c>
      <c r="C212">
        <v>127</v>
      </c>
      <c r="E212" t="s">
        <v>244</v>
      </c>
      <c r="F212" t="s">
        <v>241</v>
      </c>
      <c r="G212" t="s">
        <v>242</v>
      </c>
      <c r="H212" t="s">
        <v>153</v>
      </c>
      <c r="I212">
        <f>I209*J212</f>
        <v>18.540396000000001</v>
      </c>
      <c r="J212">
        <v>5.0740000000000007</v>
      </c>
      <c r="O212">
        <f t="shared" si="167"/>
        <v>10201</v>
      </c>
      <c r="P212">
        <f t="shared" si="168"/>
        <v>10201</v>
      </c>
      <c r="Q212">
        <f t="shared" si="169"/>
        <v>0</v>
      </c>
      <c r="R212">
        <f t="shared" si="170"/>
        <v>0</v>
      </c>
      <c r="S212">
        <f t="shared" si="171"/>
        <v>0</v>
      </c>
      <c r="T212">
        <f t="shared" si="172"/>
        <v>0</v>
      </c>
      <c r="U212">
        <f t="shared" si="173"/>
        <v>0</v>
      </c>
      <c r="V212">
        <f t="shared" si="174"/>
        <v>0</v>
      </c>
      <c r="W212">
        <f t="shared" si="175"/>
        <v>0</v>
      </c>
      <c r="X212">
        <f t="shared" si="176"/>
        <v>0</v>
      </c>
      <c r="Y212">
        <f t="shared" si="177"/>
        <v>0</v>
      </c>
      <c r="AA212">
        <v>50210945</v>
      </c>
      <c r="AB212">
        <f t="shared" si="178"/>
        <v>550.20000000000005</v>
      </c>
      <c r="AC212">
        <f t="shared" si="179"/>
        <v>550.20000000000005</v>
      </c>
      <c r="AD212">
        <f>ROUND((((ET212)-(EU212))+AE212),1)</f>
        <v>0</v>
      </c>
      <c r="AE212">
        <f t="shared" si="202"/>
        <v>0</v>
      </c>
      <c r="AF212">
        <f t="shared" si="202"/>
        <v>0</v>
      </c>
      <c r="AG212">
        <f t="shared" si="180"/>
        <v>0</v>
      </c>
      <c r="AH212">
        <f t="shared" si="203"/>
        <v>0</v>
      </c>
      <c r="AI212">
        <f t="shared" si="203"/>
        <v>0</v>
      </c>
      <c r="AJ212">
        <f t="shared" si="181"/>
        <v>0</v>
      </c>
      <c r="AK212">
        <v>550.19000000000005</v>
      </c>
      <c r="AL212">
        <v>550.19000000000005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142</v>
      </c>
      <c r="AU212">
        <v>81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3</v>
      </c>
      <c r="BI212">
        <v>1</v>
      </c>
      <c r="BJ212" t="s">
        <v>243</v>
      </c>
      <c r="BM212">
        <v>27001</v>
      </c>
      <c r="BN212">
        <v>0</v>
      </c>
      <c r="BO212" t="s">
        <v>3</v>
      </c>
      <c r="BP212">
        <v>0</v>
      </c>
      <c r="BQ212">
        <v>2</v>
      </c>
      <c r="BR212">
        <v>1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142</v>
      </c>
      <c r="CA212">
        <v>95</v>
      </c>
      <c r="CE212">
        <v>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182"/>
        <v>10201</v>
      </c>
      <c r="CQ212">
        <f t="shared" si="183"/>
        <v>550.20000000000005</v>
      </c>
      <c r="CR212">
        <f t="shared" si="184"/>
        <v>0</v>
      </c>
      <c r="CS212">
        <f t="shared" si="185"/>
        <v>0</v>
      </c>
      <c r="CT212">
        <f t="shared" si="186"/>
        <v>0</v>
      </c>
      <c r="CU212">
        <f t="shared" si="187"/>
        <v>0</v>
      </c>
      <c r="CV212">
        <f t="shared" si="188"/>
        <v>0</v>
      </c>
      <c r="CW212">
        <f t="shared" si="189"/>
        <v>0</v>
      </c>
      <c r="CX212">
        <f t="shared" si="190"/>
        <v>0</v>
      </c>
      <c r="CY212">
        <f t="shared" si="191"/>
        <v>0</v>
      </c>
      <c r="CZ212">
        <f t="shared" si="192"/>
        <v>0</v>
      </c>
      <c r="DC212" t="s">
        <v>3</v>
      </c>
      <c r="DD212" t="s">
        <v>3</v>
      </c>
      <c r="DE212" t="s">
        <v>3</v>
      </c>
      <c r="DF212" t="s">
        <v>3</v>
      </c>
      <c r="DG212" t="s">
        <v>3</v>
      </c>
      <c r="DH212" t="s">
        <v>3</v>
      </c>
      <c r="DI212" t="s">
        <v>3</v>
      </c>
      <c r="DJ212" t="s">
        <v>3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1007</v>
      </c>
      <c r="DV212" t="s">
        <v>153</v>
      </c>
      <c r="DW212" t="s">
        <v>153</v>
      </c>
      <c r="DX212">
        <v>1</v>
      </c>
      <c r="EE212">
        <v>48752256</v>
      </c>
      <c r="EF212">
        <v>2</v>
      </c>
      <c r="EG212" t="s">
        <v>30</v>
      </c>
      <c r="EH212">
        <v>0</v>
      </c>
      <c r="EI212" t="s">
        <v>3</v>
      </c>
      <c r="EJ212">
        <v>1</v>
      </c>
      <c r="EK212">
        <v>27001</v>
      </c>
      <c r="EL212" t="s">
        <v>73</v>
      </c>
      <c r="EM212" t="s">
        <v>74</v>
      </c>
      <c r="EO212" t="s">
        <v>3</v>
      </c>
      <c r="EQ212">
        <v>32768</v>
      </c>
      <c r="ER212">
        <v>550.19000000000005</v>
      </c>
      <c r="ES212">
        <v>550.19000000000005</v>
      </c>
      <c r="ET212">
        <v>0</v>
      </c>
      <c r="EU212">
        <v>0</v>
      </c>
      <c r="EV212">
        <v>0</v>
      </c>
      <c r="EW212">
        <v>0</v>
      </c>
      <c r="EX212">
        <v>0</v>
      </c>
      <c r="FQ212">
        <v>0</v>
      </c>
      <c r="FR212">
        <f t="shared" si="193"/>
        <v>0</v>
      </c>
      <c r="FS212">
        <v>0</v>
      </c>
      <c r="FU212" t="s">
        <v>33</v>
      </c>
      <c r="FX212">
        <v>142</v>
      </c>
      <c r="FY212">
        <v>80.75</v>
      </c>
      <c r="GA212" t="s">
        <v>3</v>
      </c>
      <c r="GD212">
        <v>1</v>
      </c>
      <c r="GF212">
        <v>-452102078</v>
      </c>
      <c r="GG212">
        <v>2</v>
      </c>
      <c r="GH212">
        <v>0</v>
      </c>
      <c r="GI212">
        <v>0</v>
      </c>
      <c r="GJ212">
        <v>0</v>
      </c>
      <c r="GK212">
        <v>0</v>
      </c>
      <c r="GL212">
        <f t="shared" si="194"/>
        <v>0</v>
      </c>
      <c r="GM212">
        <f t="shared" si="195"/>
        <v>10201</v>
      </c>
      <c r="GN212">
        <f t="shared" si="196"/>
        <v>10201</v>
      </c>
      <c r="GO212">
        <f t="shared" si="197"/>
        <v>0</v>
      </c>
      <c r="GP212">
        <f t="shared" si="198"/>
        <v>0</v>
      </c>
      <c r="GR212">
        <v>0</v>
      </c>
      <c r="GS212">
        <v>0</v>
      </c>
      <c r="GT212">
        <v>0</v>
      </c>
      <c r="GU212" t="s">
        <v>3</v>
      </c>
      <c r="GV212">
        <f t="shared" si="199"/>
        <v>0</v>
      </c>
      <c r="GW212">
        <v>1</v>
      </c>
      <c r="GX212">
        <f t="shared" si="200"/>
        <v>0</v>
      </c>
      <c r="HA212">
        <v>0</v>
      </c>
      <c r="HB212">
        <v>0</v>
      </c>
      <c r="HC212">
        <f t="shared" si="201"/>
        <v>0</v>
      </c>
      <c r="IK212">
        <v>0</v>
      </c>
    </row>
    <row r="213" spans="1:245" x14ac:dyDescent="0.2">
      <c r="A213">
        <v>18</v>
      </c>
      <c r="B213">
        <v>1</v>
      </c>
      <c r="C213">
        <v>128</v>
      </c>
      <c r="E213" t="s">
        <v>245</v>
      </c>
      <c r="F213" t="s">
        <v>246</v>
      </c>
      <c r="G213" t="s">
        <v>247</v>
      </c>
      <c r="H213" t="s">
        <v>153</v>
      </c>
      <c r="I213">
        <f>I209*J213</f>
        <v>-0.21923999999999999</v>
      </c>
      <c r="J213">
        <v>-0.06</v>
      </c>
      <c r="O213">
        <f t="shared" si="167"/>
        <v>-106</v>
      </c>
      <c r="P213">
        <f t="shared" si="168"/>
        <v>-106</v>
      </c>
      <c r="Q213">
        <f t="shared" si="169"/>
        <v>0</v>
      </c>
      <c r="R213">
        <f t="shared" si="170"/>
        <v>0</v>
      </c>
      <c r="S213">
        <f t="shared" si="171"/>
        <v>0</v>
      </c>
      <c r="T213">
        <f t="shared" si="172"/>
        <v>0</v>
      </c>
      <c r="U213">
        <f t="shared" si="173"/>
        <v>0</v>
      </c>
      <c r="V213">
        <f t="shared" si="174"/>
        <v>0</v>
      </c>
      <c r="W213">
        <f t="shared" si="175"/>
        <v>0</v>
      </c>
      <c r="X213">
        <f t="shared" si="176"/>
        <v>0</v>
      </c>
      <c r="Y213">
        <f t="shared" si="177"/>
        <v>0</v>
      </c>
      <c r="AA213">
        <v>50210945</v>
      </c>
      <c r="AB213">
        <f t="shared" si="178"/>
        <v>484.1</v>
      </c>
      <c r="AC213">
        <f t="shared" si="179"/>
        <v>484.1</v>
      </c>
      <c r="AD213">
        <f>ROUND((((ET213)-(EU213))+AE213),1)</f>
        <v>0</v>
      </c>
      <c r="AE213">
        <f t="shared" si="202"/>
        <v>0</v>
      </c>
      <c r="AF213">
        <f t="shared" si="202"/>
        <v>0</v>
      </c>
      <c r="AG213">
        <f t="shared" si="180"/>
        <v>0</v>
      </c>
      <c r="AH213">
        <f t="shared" si="203"/>
        <v>0</v>
      </c>
      <c r="AI213">
        <f t="shared" si="203"/>
        <v>0</v>
      </c>
      <c r="AJ213">
        <f t="shared" si="181"/>
        <v>0</v>
      </c>
      <c r="AK213">
        <v>484.14</v>
      </c>
      <c r="AL213">
        <v>484.14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142</v>
      </c>
      <c r="AU213">
        <v>81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3</v>
      </c>
      <c r="BI213">
        <v>1</v>
      </c>
      <c r="BJ213" t="s">
        <v>248</v>
      </c>
      <c r="BM213">
        <v>27001</v>
      </c>
      <c r="BN213">
        <v>0</v>
      </c>
      <c r="BO213" t="s">
        <v>3</v>
      </c>
      <c r="BP213">
        <v>0</v>
      </c>
      <c r="BQ213">
        <v>2</v>
      </c>
      <c r="BR213">
        <v>1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142</v>
      </c>
      <c r="CA213">
        <v>95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182"/>
        <v>-106</v>
      </c>
      <c r="CQ213">
        <f t="shared" si="183"/>
        <v>484.1</v>
      </c>
      <c r="CR213">
        <f t="shared" si="184"/>
        <v>0</v>
      </c>
      <c r="CS213">
        <f t="shared" si="185"/>
        <v>0</v>
      </c>
      <c r="CT213">
        <f t="shared" si="186"/>
        <v>0</v>
      </c>
      <c r="CU213">
        <f t="shared" si="187"/>
        <v>0</v>
      </c>
      <c r="CV213">
        <f t="shared" si="188"/>
        <v>0</v>
      </c>
      <c r="CW213">
        <f t="shared" si="189"/>
        <v>0</v>
      </c>
      <c r="CX213">
        <f t="shared" si="190"/>
        <v>0</v>
      </c>
      <c r="CY213">
        <f t="shared" si="191"/>
        <v>0</v>
      </c>
      <c r="CZ213">
        <f t="shared" si="192"/>
        <v>0</v>
      </c>
      <c r="DC213" t="s">
        <v>3</v>
      </c>
      <c r="DD213" t="s">
        <v>3</v>
      </c>
      <c r="DE213" t="s">
        <v>3</v>
      </c>
      <c r="DF213" t="s">
        <v>3</v>
      </c>
      <c r="DG213" t="s">
        <v>3</v>
      </c>
      <c r="DH213" t="s">
        <v>3</v>
      </c>
      <c r="DI213" t="s">
        <v>3</v>
      </c>
      <c r="DJ213" t="s">
        <v>3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1007</v>
      </c>
      <c r="DV213" t="s">
        <v>153</v>
      </c>
      <c r="DW213" t="s">
        <v>153</v>
      </c>
      <c r="DX213">
        <v>1</v>
      </c>
      <c r="EE213">
        <v>48752256</v>
      </c>
      <c r="EF213">
        <v>2</v>
      </c>
      <c r="EG213" t="s">
        <v>30</v>
      </c>
      <c r="EH213">
        <v>0</v>
      </c>
      <c r="EI213" t="s">
        <v>3</v>
      </c>
      <c r="EJ213">
        <v>1</v>
      </c>
      <c r="EK213">
        <v>27001</v>
      </c>
      <c r="EL213" t="s">
        <v>73</v>
      </c>
      <c r="EM213" t="s">
        <v>74</v>
      </c>
      <c r="EO213" t="s">
        <v>3</v>
      </c>
      <c r="EQ213">
        <v>0</v>
      </c>
      <c r="ER213">
        <v>484.14</v>
      </c>
      <c r="ES213">
        <v>484.14</v>
      </c>
      <c r="ET213">
        <v>0</v>
      </c>
      <c r="EU213">
        <v>0</v>
      </c>
      <c r="EV213">
        <v>0</v>
      </c>
      <c r="EW213">
        <v>0</v>
      </c>
      <c r="EX213">
        <v>0</v>
      </c>
      <c r="FQ213">
        <v>0</v>
      </c>
      <c r="FR213">
        <f t="shared" si="193"/>
        <v>0</v>
      </c>
      <c r="FS213">
        <v>0</v>
      </c>
      <c r="FU213" t="s">
        <v>33</v>
      </c>
      <c r="FX213">
        <v>142</v>
      </c>
      <c r="FY213">
        <v>80.75</v>
      </c>
      <c r="GA213" t="s">
        <v>3</v>
      </c>
      <c r="GD213">
        <v>1</v>
      </c>
      <c r="GF213">
        <v>895118465</v>
      </c>
      <c r="GG213">
        <v>2</v>
      </c>
      <c r="GH213">
        <v>0</v>
      </c>
      <c r="GI213">
        <v>0</v>
      </c>
      <c r="GJ213">
        <v>0</v>
      </c>
      <c r="GK213">
        <v>0</v>
      </c>
      <c r="GL213">
        <f t="shared" si="194"/>
        <v>0</v>
      </c>
      <c r="GM213">
        <f t="shared" si="195"/>
        <v>-106</v>
      </c>
      <c r="GN213">
        <f t="shared" si="196"/>
        <v>-106</v>
      </c>
      <c r="GO213">
        <f t="shared" si="197"/>
        <v>0</v>
      </c>
      <c r="GP213">
        <f t="shared" si="198"/>
        <v>0</v>
      </c>
      <c r="GR213">
        <v>0</v>
      </c>
      <c r="GS213">
        <v>0</v>
      </c>
      <c r="GT213">
        <v>0</v>
      </c>
      <c r="GU213" t="s">
        <v>3</v>
      </c>
      <c r="GV213">
        <f t="shared" si="199"/>
        <v>0</v>
      </c>
      <c r="GW213">
        <v>1</v>
      </c>
      <c r="GX213">
        <f t="shared" si="200"/>
        <v>0</v>
      </c>
      <c r="HA213">
        <v>0</v>
      </c>
      <c r="HB213">
        <v>0</v>
      </c>
      <c r="HC213">
        <f t="shared" si="201"/>
        <v>0</v>
      </c>
      <c r="IK213">
        <v>0</v>
      </c>
    </row>
    <row r="214" spans="1:245" x14ac:dyDescent="0.2">
      <c r="A214">
        <v>18</v>
      </c>
      <c r="B214">
        <v>1</v>
      </c>
      <c r="C214">
        <v>129</v>
      </c>
      <c r="E214" t="s">
        <v>249</v>
      </c>
      <c r="F214" t="s">
        <v>246</v>
      </c>
      <c r="G214" t="s">
        <v>247</v>
      </c>
      <c r="H214" t="s">
        <v>153</v>
      </c>
      <c r="I214">
        <f>I209*J214</f>
        <v>7.2348999999999997E-2</v>
      </c>
      <c r="J214">
        <v>1.9799945265462505E-2</v>
      </c>
      <c r="O214">
        <f t="shared" si="167"/>
        <v>35</v>
      </c>
      <c r="P214">
        <f t="shared" si="168"/>
        <v>35</v>
      </c>
      <c r="Q214">
        <f t="shared" si="169"/>
        <v>0</v>
      </c>
      <c r="R214">
        <f t="shared" si="170"/>
        <v>0</v>
      </c>
      <c r="S214">
        <f t="shared" si="171"/>
        <v>0</v>
      </c>
      <c r="T214">
        <f t="shared" si="172"/>
        <v>0</v>
      </c>
      <c r="U214">
        <f t="shared" si="173"/>
        <v>0</v>
      </c>
      <c r="V214">
        <f t="shared" si="174"/>
        <v>0</v>
      </c>
      <c r="W214">
        <f t="shared" si="175"/>
        <v>0</v>
      </c>
      <c r="X214">
        <f t="shared" si="176"/>
        <v>0</v>
      </c>
      <c r="Y214">
        <f t="shared" si="177"/>
        <v>0</v>
      </c>
      <c r="AA214">
        <v>50210945</v>
      </c>
      <c r="AB214">
        <f t="shared" si="178"/>
        <v>484.1</v>
      </c>
      <c r="AC214">
        <f t="shared" si="179"/>
        <v>484.1</v>
      </c>
      <c r="AD214">
        <f>ROUND((((ET214)-(EU214))+AE214),1)</f>
        <v>0</v>
      </c>
      <c r="AE214">
        <f t="shared" si="202"/>
        <v>0</v>
      </c>
      <c r="AF214">
        <f t="shared" si="202"/>
        <v>0</v>
      </c>
      <c r="AG214">
        <f t="shared" si="180"/>
        <v>0</v>
      </c>
      <c r="AH214">
        <f t="shared" si="203"/>
        <v>0</v>
      </c>
      <c r="AI214">
        <f t="shared" si="203"/>
        <v>0</v>
      </c>
      <c r="AJ214">
        <f t="shared" si="181"/>
        <v>0</v>
      </c>
      <c r="AK214">
        <v>484.14</v>
      </c>
      <c r="AL214">
        <v>484.14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142</v>
      </c>
      <c r="AU214">
        <v>81</v>
      </c>
      <c r="AV214">
        <v>1</v>
      </c>
      <c r="AW214">
        <v>1</v>
      </c>
      <c r="AZ214">
        <v>1</v>
      </c>
      <c r="BA214">
        <v>1</v>
      </c>
      <c r="BB214">
        <v>1</v>
      </c>
      <c r="BC214">
        <v>1</v>
      </c>
      <c r="BD214" t="s">
        <v>3</v>
      </c>
      <c r="BE214" t="s">
        <v>3</v>
      </c>
      <c r="BF214" t="s">
        <v>3</v>
      </c>
      <c r="BG214" t="s">
        <v>3</v>
      </c>
      <c r="BH214">
        <v>3</v>
      </c>
      <c r="BI214">
        <v>1</v>
      </c>
      <c r="BJ214" t="s">
        <v>248</v>
      </c>
      <c r="BM214">
        <v>27001</v>
      </c>
      <c r="BN214">
        <v>0</v>
      </c>
      <c r="BO214" t="s">
        <v>3</v>
      </c>
      <c r="BP214">
        <v>0</v>
      </c>
      <c r="BQ214">
        <v>2</v>
      </c>
      <c r="BR214">
        <v>1</v>
      </c>
      <c r="BS214">
        <v>1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142</v>
      </c>
      <c r="CA214">
        <v>95</v>
      </c>
      <c r="CE214">
        <v>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182"/>
        <v>35</v>
      </c>
      <c r="CQ214">
        <f t="shared" si="183"/>
        <v>484.1</v>
      </c>
      <c r="CR214">
        <f t="shared" si="184"/>
        <v>0</v>
      </c>
      <c r="CS214">
        <f t="shared" si="185"/>
        <v>0</v>
      </c>
      <c r="CT214">
        <f t="shared" si="186"/>
        <v>0</v>
      </c>
      <c r="CU214">
        <f t="shared" si="187"/>
        <v>0</v>
      </c>
      <c r="CV214">
        <f t="shared" si="188"/>
        <v>0</v>
      </c>
      <c r="CW214">
        <f t="shared" si="189"/>
        <v>0</v>
      </c>
      <c r="CX214">
        <f t="shared" si="190"/>
        <v>0</v>
      </c>
      <c r="CY214">
        <f t="shared" si="191"/>
        <v>0</v>
      </c>
      <c r="CZ214">
        <f t="shared" si="192"/>
        <v>0</v>
      </c>
      <c r="DC214" t="s">
        <v>3</v>
      </c>
      <c r="DD214" t="s">
        <v>3</v>
      </c>
      <c r="DE214" t="s">
        <v>3</v>
      </c>
      <c r="DF214" t="s">
        <v>3</v>
      </c>
      <c r="DG214" t="s">
        <v>3</v>
      </c>
      <c r="DH214" t="s">
        <v>3</v>
      </c>
      <c r="DI214" t="s">
        <v>3</v>
      </c>
      <c r="DJ214" t="s">
        <v>3</v>
      </c>
      <c r="DK214" t="s">
        <v>3</v>
      </c>
      <c r="DL214" t="s">
        <v>3</v>
      </c>
      <c r="DM214" t="s">
        <v>3</v>
      </c>
      <c r="DN214">
        <v>0</v>
      </c>
      <c r="DO214">
        <v>0</v>
      </c>
      <c r="DP214">
        <v>1</v>
      </c>
      <c r="DQ214">
        <v>1</v>
      </c>
      <c r="DU214">
        <v>1007</v>
      </c>
      <c r="DV214" t="s">
        <v>153</v>
      </c>
      <c r="DW214" t="s">
        <v>153</v>
      </c>
      <c r="DX214">
        <v>1</v>
      </c>
      <c r="EE214">
        <v>48752256</v>
      </c>
      <c r="EF214">
        <v>2</v>
      </c>
      <c r="EG214" t="s">
        <v>30</v>
      </c>
      <c r="EH214">
        <v>0</v>
      </c>
      <c r="EI214" t="s">
        <v>3</v>
      </c>
      <c r="EJ214">
        <v>1</v>
      </c>
      <c r="EK214">
        <v>27001</v>
      </c>
      <c r="EL214" t="s">
        <v>73</v>
      </c>
      <c r="EM214" t="s">
        <v>74</v>
      </c>
      <c r="EO214" t="s">
        <v>3</v>
      </c>
      <c r="EQ214">
        <v>32768</v>
      </c>
      <c r="ER214">
        <v>484.14</v>
      </c>
      <c r="ES214">
        <v>484.14</v>
      </c>
      <c r="ET214">
        <v>0</v>
      </c>
      <c r="EU214">
        <v>0</v>
      </c>
      <c r="EV214">
        <v>0</v>
      </c>
      <c r="EW214">
        <v>0</v>
      </c>
      <c r="EX214">
        <v>0</v>
      </c>
      <c r="FQ214">
        <v>0</v>
      </c>
      <c r="FR214">
        <f t="shared" si="193"/>
        <v>0</v>
      </c>
      <c r="FS214">
        <v>0</v>
      </c>
      <c r="FU214" t="s">
        <v>33</v>
      </c>
      <c r="FX214">
        <v>142</v>
      </c>
      <c r="FY214">
        <v>80.75</v>
      </c>
      <c r="GA214" t="s">
        <v>3</v>
      </c>
      <c r="GD214">
        <v>1</v>
      </c>
      <c r="GF214">
        <v>895118465</v>
      </c>
      <c r="GG214">
        <v>2</v>
      </c>
      <c r="GH214">
        <v>0</v>
      </c>
      <c r="GI214">
        <v>0</v>
      </c>
      <c r="GJ214">
        <v>0</v>
      </c>
      <c r="GK214">
        <v>0</v>
      </c>
      <c r="GL214">
        <f t="shared" si="194"/>
        <v>0</v>
      </c>
      <c r="GM214">
        <f t="shared" si="195"/>
        <v>35</v>
      </c>
      <c r="GN214">
        <f t="shared" si="196"/>
        <v>35</v>
      </c>
      <c r="GO214">
        <f t="shared" si="197"/>
        <v>0</v>
      </c>
      <c r="GP214">
        <f t="shared" si="198"/>
        <v>0</v>
      </c>
      <c r="GR214">
        <v>0</v>
      </c>
      <c r="GS214">
        <v>0</v>
      </c>
      <c r="GT214">
        <v>0</v>
      </c>
      <c r="GU214" t="s">
        <v>3</v>
      </c>
      <c r="GV214">
        <f t="shared" si="199"/>
        <v>0</v>
      </c>
      <c r="GW214">
        <v>1</v>
      </c>
      <c r="GX214">
        <f t="shared" si="200"/>
        <v>0</v>
      </c>
      <c r="HA214">
        <v>0</v>
      </c>
      <c r="HB214">
        <v>0</v>
      </c>
      <c r="HC214">
        <f t="shared" si="201"/>
        <v>0</v>
      </c>
      <c r="IK214">
        <v>0</v>
      </c>
    </row>
    <row r="215" spans="1:245" x14ac:dyDescent="0.2">
      <c r="A215">
        <v>17</v>
      </c>
      <c r="B215">
        <v>1</v>
      </c>
      <c r="C215">
        <f>ROW(SmtRes!A131)</f>
        <v>131</v>
      </c>
      <c r="D215">
        <f>ROW(EtalonRes!A128)</f>
        <v>128</v>
      </c>
      <c r="E215" t="s">
        <v>250</v>
      </c>
      <c r="F215" t="s">
        <v>223</v>
      </c>
      <c r="G215" t="s">
        <v>224</v>
      </c>
      <c r="H215" t="s">
        <v>207</v>
      </c>
      <c r="I215">
        <f>ROUND((I209*100*0.1*0.088)/100,4)</f>
        <v>3.2199999999999999E-2</v>
      </c>
      <c r="J215">
        <v>0</v>
      </c>
      <c r="O215">
        <f t="shared" si="167"/>
        <v>20</v>
      </c>
      <c r="P215">
        <f t="shared" si="168"/>
        <v>0</v>
      </c>
      <c r="Q215">
        <f t="shared" si="169"/>
        <v>0</v>
      </c>
      <c r="R215">
        <f t="shared" si="170"/>
        <v>0</v>
      </c>
      <c r="S215">
        <f t="shared" si="171"/>
        <v>20</v>
      </c>
      <c r="T215">
        <f t="shared" si="172"/>
        <v>0</v>
      </c>
      <c r="U215">
        <f t="shared" si="173"/>
        <v>3.2771549999999996</v>
      </c>
      <c r="V215">
        <f t="shared" si="174"/>
        <v>0</v>
      </c>
      <c r="W215">
        <f t="shared" si="175"/>
        <v>0</v>
      </c>
      <c r="X215">
        <f t="shared" si="176"/>
        <v>16</v>
      </c>
      <c r="Y215">
        <f t="shared" si="177"/>
        <v>8</v>
      </c>
      <c r="AA215">
        <v>50210945</v>
      </c>
      <c r="AB215">
        <f t="shared" si="178"/>
        <v>620.79999999999995</v>
      </c>
      <c r="AC215">
        <f t="shared" si="179"/>
        <v>0</v>
      </c>
      <c r="AD215">
        <f>ROUND(((((ET215*1.25))-((EU215*1.25)))+AE215),1)</f>
        <v>0</v>
      </c>
      <c r="AE215">
        <f>ROUND(((EU215*1.25)),1)</f>
        <v>0</v>
      </c>
      <c r="AF215">
        <f>ROUND(((EV215*1.15)),1)</f>
        <v>620.79999999999995</v>
      </c>
      <c r="AG215">
        <f t="shared" si="180"/>
        <v>0</v>
      </c>
      <c r="AH215">
        <f>((EW215*1.15))</f>
        <v>101.77499999999999</v>
      </c>
      <c r="AI215">
        <f>((EX215*1.25))</f>
        <v>0</v>
      </c>
      <c r="AJ215">
        <f t="shared" si="181"/>
        <v>0</v>
      </c>
      <c r="AK215">
        <v>539.85</v>
      </c>
      <c r="AL215">
        <v>0</v>
      </c>
      <c r="AM215">
        <v>0</v>
      </c>
      <c r="AN215">
        <v>0</v>
      </c>
      <c r="AO215">
        <v>539.85</v>
      </c>
      <c r="AP215">
        <v>0</v>
      </c>
      <c r="AQ215">
        <v>88.5</v>
      </c>
      <c r="AR215">
        <v>0</v>
      </c>
      <c r="AS215">
        <v>0</v>
      </c>
      <c r="AT215">
        <v>80</v>
      </c>
      <c r="AU215">
        <v>38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1</v>
      </c>
      <c r="BJ215" t="s">
        <v>225</v>
      </c>
      <c r="BM215">
        <v>1003</v>
      </c>
      <c r="BN215">
        <v>0</v>
      </c>
      <c r="BO215" t="s">
        <v>3</v>
      </c>
      <c r="BP215">
        <v>0</v>
      </c>
      <c r="BQ215">
        <v>2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80</v>
      </c>
      <c r="CA215">
        <v>45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si="182"/>
        <v>20</v>
      </c>
      <c r="CQ215">
        <f t="shared" si="183"/>
        <v>0</v>
      </c>
      <c r="CR215">
        <f t="shared" si="184"/>
        <v>0</v>
      </c>
      <c r="CS215">
        <f t="shared" si="185"/>
        <v>0</v>
      </c>
      <c r="CT215">
        <f t="shared" si="186"/>
        <v>620.79999999999995</v>
      </c>
      <c r="CU215">
        <f t="shared" si="187"/>
        <v>0</v>
      </c>
      <c r="CV215">
        <f t="shared" si="188"/>
        <v>101.77499999999999</v>
      </c>
      <c r="CW215">
        <f t="shared" si="189"/>
        <v>0</v>
      </c>
      <c r="CX215">
        <f t="shared" si="190"/>
        <v>0</v>
      </c>
      <c r="CY215">
        <f t="shared" si="191"/>
        <v>16</v>
      </c>
      <c r="CZ215">
        <f t="shared" si="192"/>
        <v>7.6</v>
      </c>
      <c r="DC215" t="s">
        <v>3</v>
      </c>
      <c r="DD215" t="s">
        <v>3</v>
      </c>
      <c r="DE215" t="s">
        <v>11</v>
      </c>
      <c r="DF215" t="s">
        <v>11</v>
      </c>
      <c r="DG215" t="s">
        <v>12</v>
      </c>
      <c r="DH215" t="s">
        <v>3</v>
      </c>
      <c r="DI215" t="s">
        <v>12</v>
      </c>
      <c r="DJ215" t="s">
        <v>11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1013</v>
      </c>
      <c r="DV215" t="s">
        <v>207</v>
      </c>
      <c r="DW215" t="s">
        <v>207</v>
      </c>
      <c r="DX215">
        <v>1</v>
      </c>
      <c r="EE215">
        <v>48752191</v>
      </c>
      <c r="EF215">
        <v>2</v>
      </c>
      <c r="EG215" t="s">
        <v>30</v>
      </c>
      <c r="EH215">
        <v>0</v>
      </c>
      <c r="EI215" t="s">
        <v>3</v>
      </c>
      <c r="EJ215">
        <v>1</v>
      </c>
      <c r="EK215">
        <v>1003</v>
      </c>
      <c r="EL215" t="s">
        <v>209</v>
      </c>
      <c r="EM215" t="s">
        <v>32</v>
      </c>
      <c r="EO215" t="s">
        <v>3</v>
      </c>
      <c r="EQ215">
        <v>131072</v>
      </c>
      <c r="ER215">
        <v>539.85</v>
      </c>
      <c r="ES215">
        <v>0</v>
      </c>
      <c r="ET215">
        <v>0</v>
      </c>
      <c r="EU215">
        <v>0</v>
      </c>
      <c r="EV215">
        <v>539.85</v>
      </c>
      <c r="EW215">
        <v>88.5</v>
      </c>
      <c r="EX215">
        <v>0</v>
      </c>
      <c r="EY215">
        <v>0</v>
      </c>
      <c r="FQ215">
        <v>0</v>
      </c>
      <c r="FR215">
        <f t="shared" si="193"/>
        <v>0</v>
      </c>
      <c r="FS215">
        <v>0</v>
      </c>
      <c r="FU215" t="s">
        <v>33</v>
      </c>
      <c r="FX215">
        <v>80</v>
      </c>
      <c r="FY215">
        <v>38.25</v>
      </c>
      <c r="GA215" t="s">
        <v>3</v>
      </c>
      <c r="GD215">
        <v>1</v>
      </c>
      <c r="GF215">
        <v>-574956848</v>
      </c>
      <c r="GG215">
        <v>2</v>
      </c>
      <c r="GH215">
        <v>0</v>
      </c>
      <c r="GI215">
        <v>0</v>
      </c>
      <c r="GJ215">
        <v>0</v>
      </c>
      <c r="GK215">
        <v>0</v>
      </c>
      <c r="GL215">
        <f t="shared" si="194"/>
        <v>0</v>
      </c>
      <c r="GM215">
        <f t="shared" si="195"/>
        <v>44</v>
      </c>
      <c r="GN215">
        <f t="shared" si="196"/>
        <v>44</v>
      </c>
      <c r="GO215">
        <f t="shared" si="197"/>
        <v>0</v>
      </c>
      <c r="GP215">
        <f t="shared" si="198"/>
        <v>0</v>
      </c>
      <c r="GR215">
        <v>0</v>
      </c>
      <c r="GS215">
        <v>0</v>
      </c>
      <c r="GT215">
        <v>0</v>
      </c>
      <c r="GU215" t="s">
        <v>3</v>
      </c>
      <c r="GV215">
        <f t="shared" si="199"/>
        <v>0</v>
      </c>
      <c r="GW215">
        <v>1</v>
      </c>
      <c r="GX215">
        <f t="shared" si="200"/>
        <v>0</v>
      </c>
      <c r="HA215">
        <v>0</v>
      </c>
      <c r="HB215">
        <v>0</v>
      </c>
      <c r="HC215">
        <f t="shared" si="201"/>
        <v>0</v>
      </c>
      <c r="IK215">
        <v>0</v>
      </c>
    </row>
    <row r="216" spans="1:245" x14ac:dyDescent="0.2">
      <c r="A216">
        <v>17</v>
      </c>
      <c r="B216">
        <v>1</v>
      </c>
      <c r="E216" t="s">
        <v>251</v>
      </c>
      <c r="F216" t="s">
        <v>227</v>
      </c>
      <c r="G216" t="s">
        <v>228</v>
      </c>
      <c r="H216" t="s">
        <v>37</v>
      </c>
      <c r="I216">
        <f>ROUND(I206*100*1.5-I215*100*1.5,4)</f>
        <v>44.505000000000003</v>
      </c>
      <c r="J216">
        <v>0</v>
      </c>
      <c r="O216">
        <f t="shared" si="167"/>
        <v>191</v>
      </c>
      <c r="P216">
        <f t="shared" si="168"/>
        <v>0</v>
      </c>
      <c r="Q216">
        <f t="shared" si="169"/>
        <v>191</v>
      </c>
      <c r="R216">
        <f t="shared" si="170"/>
        <v>0</v>
      </c>
      <c r="S216">
        <f t="shared" si="171"/>
        <v>0</v>
      </c>
      <c r="T216">
        <f t="shared" si="172"/>
        <v>0</v>
      </c>
      <c r="U216">
        <f t="shared" si="173"/>
        <v>0</v>
      </c>
      <c r="V216">
        <f t="shared" si="174"/>
        <v>0</v>
      </c>
      <c r="W216">
        <f t="shared" si="175"/>
        <v>0</v>
      </c>
      <c r="X216">
        <f t="shared" si="176"/>
        <v>0</v>
      </c>
      <c r="Y216">
        <f t="shared" si="177"/>
        <v>0</v>
      </c>
      <c r="AA216">
        <v>50210945</v>
      </c>
      <c r="AB216">
        <f t="shared" si="178"/>
        <v>4.3</v>
      </c>
      <c r="AC216">
        <f t="shared" si="179"/>
        <v>0</v>
      </c>
      <c r="AD216">
        <f>ROUND(((ET216)+ROUND(((EU216)*1.6),2)),1)</f>
        <v>4.3</v>
      </c>
      <c r="AE216">
        <f>ROUND(((EU216)+ROUND(((EU216)*1.6),2)),1)</f>
        <v>0</v>
      </c>
      <c r="AF216">
        <f>ROUND(((EV216)+ROUND(((EV216)*1.6),2)),1)</f>
        <v>0</v>
      </c>
      <c r="AG216">
        <f t="shared" si="180"/>
        <v>0</v>
      </c>
      <c r="AH216">
        <f>(EW216)</f>
        <v>0</v>
      </c>
      <c r="AI216">
        <f>(EX216)</f>
        <v>0</v>
      </c>
      <c r="AJ216">
        <f t="shared" si="181"/>
        <v>0</v>
      </c>
      <c r="AK216">
        <v>4.25</v>
      </c>
      <c r="AL216">
        <v>0</v>
      </c>
      <c r="AM216">
        <v>4.25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1</v>
      </c>
      <c r="BJ216" t="s">
        <v>229</v>
      </c>
      <c r="BM216">
        <v>700004</v>
      </c>
      <c r="BN216">
        <v>0</v>
      </c>
      <c r="BO216" t="s">
        <v>3</v>
      </c>
      <c r="BP216">
        <v>0</v>
      </c>
      <c r="BQ216">
        <v>19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0</v>
      </c>
      <c r="CA216">
        <v>0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182"/>
        <v>191</v>
      </c>
      <c r="CQ216">
        <f t="shared" si="183"/>
        <v>0</v>
      </c>
      <c r="CR216">
        <f t="shared" si="184"/>
        <v>4.3</v>
      </c>
      <c r="CS216">
        <f t="shared" si="185"/>
        <v>0</v>
      </c>
      <c r="CT216">
        <f t="shared" si="186"/>
        <v>0</v>
      </c>
      <c r="CU216">
        <f t="shared" si="187"/>
        <v>0</v>
      </c>
      <c r="CV216">
        <f t="shared" si="188"/>
        <v>0</v>
      </c>
      <c r="CW216">
        <f t="shared" si="189"/>
        <v>0</v>
      </c>
      <c r="CX216">
        <f t="shared" si="190"/>
        <v>0</v>
      </c>
      <c r="CY216">
        <f t="shared" si="191"/>
        <v>0</v>
      </c>
      <c r="CZ216">
        <f t="shared" si="192"/>
        <v>0</v>
      </c>
      <c r="DC216" t="s">
        <v>3</v>
      </c>
      <c r="DD216" t="s">
        <v>3</v>
      </c>
      <c r="DE216" t="s">
        <v>3</v>
      </c>
      <c r="DF216" t="s">
        <v>3</v>
      </c>
      <c r="DG216" t="s">
        <v>3</v>
      </c>
      <c r="DH216" t="s">
        <v>3</v>
      </c>
      <c r="DI216" t="s">
        <v>3</v>
      </c>
      <c r="DJ216" t="s">
        <v>3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1013</v>
      </c>
      <c r="DV216" t="s">
        <v>37</v>
      </c>
      <c r="DW216" t="s">
        <v>37</v>
      </c>
      <c r="DX216">
        <v>1</v>
      </c>
      <c r="EE216">
        <v>48752403</v>
      </c>
      <c r="EF216">
        <v>19</v>
      </c>
      <c r="EG216" t="s">
        <v>39</v>
      </c>
      <c r="EH216">
        <v>0</v>
      </c>
      <c r="EI216" t="s">
        <v>3</v>
      </c>
      <c r="EJ216">
        <v>1</v>
      </c>
      <c r="EK216">
        <v>700004</v>
      </c>
      <c r="EL216" t="s">
        <v>40</v>
      </c>
      <c r="EM216" t="s">
        <v>41</v>
      </c>
      <c r="EO216" t="s">
        <v>3</v>
      </c>
      <c r="EQ216">
        <v>131072</v>
      </c>
      <c r="ER216">
        <v>4.25</v>
      </c>
      <c r="ES216">
        <v>0</v>
      </c>
      <c r="ET216">
        <v>4.25</v>
      </c>
      <c r="EU216">
        <v>0</v>
      </c>
      <c r="EV216">
        <v>0</v>
      </c>
      <c r="EW216">
        <v>0</v>
      </c>
      <c r="EX216">
        <v>0</v>
      </c>
      <c r="EY216">
        <v>0</v>
      </c>
      <c r="FQ216">
        <v>0</v>
      </c>
      <c r="FR216">
        <f t="shared" si="193"/>
        <v>0</v>
      </c>
      <c r="FS216">
        <v>0</v>
      </c>
      <c r="FX216">
        <v>0</v>
      </c>
      <c r="FY216">
        <v>0</v>
      </c>
      <c r="GA216" t="s">
        <v>3</v>
      </c>
      <c r="GD216">
        <v>1</v>
      </c>
      <c r="GF216">
        <v>1644020898</v>
      </c>
      <c r="GG216">
        <v>2</v>
      </c>
      <c r="GH216">
        <v>0</v>
      </c>
      <c r="GI216">
        <v>0</v>
      </c>
      <c r="GJ216">
        <v>0</v>
      </c>
      <c r="GK216">
        <v>0</v>
      </c>
      <c r="GL216">
        <f t="shared" si="194"/>
        <v>0</v>
      </c>
      <c r="GM216">
        <f t="shared" si="195"/>
        <v>191</v>
      </c>
      <c r="GN216">
        <f t="shared" si="196"/>
        <v>191</v>
      </c>
      <c r="GO216">
        <f t="shared" si="197"/>
        <v>0</v>
      </c>
      <c r="GP216">
        <f t="shared" si="198"/>
        <v>0</v>
      </c>
      <c r="GR216">
        <v>0</v>
      </c>
      <c r="GS216">
        <v>0</v>
      </c>
      <c r="GT216">
        <v>0</v>
      </c>
      <c r="GU216" t="s">
        <v>3</v>
      </c>
      <c r="GV216">
        <f t="shared" si="199"/>
        <v>0</v>
      </c>
      <c r="GW216">
        <v>1</v>
      </c>
      <c r="GX216">
        <f t="shared" si="200"/>
        <v>0</v>
      </c>
      <c r="HA216">
        <v>0</v>
      </c>
      <c r="HB216">
        <v>0</v>
      </c>
      <c r="HC216">
        <f t="shared" si="201"/>
        <v>0</v>
      </c>
      <c r="HD216">
        <f>GM216</f>
        <v>191</v>
      </c>
      <c r="IK216">
        <v>0</v>
      </c>
    </row>
    <row r="217" spans="1:245" x14ac:dyDescent="0.2">
      <c r="A217">
        <v>17</v>
      </c>
      <c r="B217">
        <v>1</v>
      </c>
      <c r="E217" t="s">
        <v>252</v>
      </c>
      <c r="F217" t="s">
        <v>65</v>
      </c>
      <c r="G217" t="s">
        <v>66</v>
      </c>
      <c r="H217" t="s">
        <v>37</v>
      </c>
      <c r="I217">
        <f>ROUND(I216,4)</f>
        <v>44.505000000000003</v>
      </c>
      <c r="J217">
        <v>0</v>
      </c>
      <c r="O217">
        <f t="shared" si="167"/>
        <v>298</v>
      </c>
      <c r="P217">
        <f t="shared" si="168"/>
        <v>0</v>
      </c>
      <c r="Q217">
        <f t="shared" si="169"/>
        <v>298</v>
      </c>
      <c r="R217">
        <f t="shared" si="170"/>
        <v>0</v>
      </c>
      <c r="S217">
        <f t="shared" si="171"/>
        <v>0</v>
      </c>
      <c r="T217">
        <f t="shared" si="172"/>
        <v>0</v>
      </c>
      <c r="U217">
        <f t="shared" si="173"/>
        <v>0</v>
      </c>
      <c r="V217">
        <f t="shared" si="174"/>
        <v>0</v>
      </c>
      <c r="W217">
        <f t="shared" si="175"/>
        <v>0</v>
      </c>
      <c r="X217">
        <f t="shared" si="176"/>
        <v>0</v>
      </c>
      <c r="Y217">
        <f t="shared" si="177"/>
        <v>0</v>
      </c>
      <c r="AA217">
        <v>50210945</v>
      </c>
      <c r="AB217">
        <f t="shared" si="178"/>
        <v>6.7</v>
      </c>
      <c r="AC217">
        <f t="shared" si="179"/>
        <v>0</v>
      </c>
      <c r="AD217">
        <f>ROUND(((ET217)+ROUND(((EU217)*1.85),2)),1)</f>
        <v>6.7</v>
      </c>
      <c r="AE217">
        <f>ROUND(((EU217)+ROUND(((EU217)*1.85),2)),1)</f>
        <v>0</v>
      </c>
      <c r="AF217">
        <f>ROUND(((EV217)+ROUND(((EV217)*1.85),2)),1)</f>
        <v>0</v>
      </c>
      <c r="AG217">
        <f t="shared" si="180"/>
        <v>0</v>
      </c>
      <c r="AH217">
        <f>(EW217)</f>
        <v>0</v>
      </c>
      <c r="AI217">
        <f>(EX217)</f>
        <v>0</v>
      </c>
      <c r="AJ217">
        <f t="shared" si="181"/>
        <v>0</v>
      </c>
      <c r="AK217">
        <v>6.65</v>
      </c>
      <c r="AL217">
        <v>0</v>
      </c>
      <c r="AM217">
        <v>6.65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1</v>
      </c>
      <c r="BJ217" t="s">
        <v>67</v>
      </c>
      <c r="BM217">
        <v>700001</v>
      </c>
      <c r="BN217">
        <v>0</v>
      </c>
      <c r="BO217" t="s">
        <v>3</v>
      </c>
      <c r="BP217">
        <v>0</v>
      </c>
      <c r="BQ217">
        <v>10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0</v>
      </c>
      <c r="CA217">
        <v>0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182"/>
        <v>298</v>
      </c>
      <c r="CQ217">
        <f t="shared" si="183"/>
        <v>0</v>
      </c>
      <c r="CR217">
        <f t="shared" si="184"/>
        <v>6.7</v>
      </c>
      <c r="CS217">
        <f t="shared" si="185"/>
        <v>0</v>
      </c>
      <c r="CT217">
        <f t="shared" si="186"/>
        <v>0</v>
      </c>
      <c r="CU217">
        <f t="shared" si="187"/>
        <v>0</v>
      </c>
      <c r="CV217">
        <f t="shared" si="188"/>
        <v>0</v>
      </c>
      <c r="CW217">
        <f t="shared" si="189"/>
        <v>0</v>
      </c>
      <c r="CX217">
        <f t="shared" si="190"/>
        <v>0</v>
      </c>
      <c r="CY217">
        <f t="shared" si="191"/>
        <v>0</v>
      </c>
      <c r="CZ217">
        <f t="shared" si="192"/>
        <v>0</v>
      </c>
      <c r="DC217" t="s">
        <v>3</v>
      </c>
      <c r="DD217" t="s">
        <v>3</v>
      </c>
      <c r="DE217" t="s">
        <v>3</v>
      </c>
      <c r="DF217" t="s">
        <v>3</v>
      </c>
      <c r="DG217" t="s">
        <v>3</v>
      </c>
      <c r="DH217" t="s">
        <v>3</v>
      </c>
      <c r="DI217" t="s">
        <v>3</v>
      </c>
      <c r="DJ217" t="s">
        <v>3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1013</v>
      </c>
      <c r="DV217" t="s">
        <v>37</v>
      </c>
      <c r="DW217" t="s">
        <v>37</v>
      </c>
      <c r="DX217">
        <v>1</v>
      </c>
      <c r="EE217">
        <v>48752153</v>
      </c>
      <c r="EF217">
        <v>10</v>
      </c>
      <c r="EG217" t="s">
        <v>46</v>
      </c>
      <c r="EH217">
        <v>0</v>
      </c>
      <c r="EI217" t="s">
        <v>3</v>
      </c>
      <c r="EJ217">
        <v>1</v>
      </c>
      <c r="EK217">
        <v>700001</v>
      </c>
      <c r="EL217" t="s">
        <v>47</v>
      </c>
      <c r="EM217" t="s">
        <v>48</v>
      </c>
      <c r="EO217" t="s">
        <v>3</v>
      </c>
      <c r="EQ217">
        <v>131072</v>
      </c>
      <c r="ER217">
        <v>6.65</v>
      </c>
      <c r="ES217">
        <v>0</v>
      </c>
      <c r="ET217">
        <v>6.65</v>
      </c>
      <c r="EU217">
        <v>0</v>
      </c>
      <c r="EV217">
        <v>0</v>
      </c>
      <c r="EW217">
        <v>0</v>
      </c>
      <c r="EX217">
        <v>0</v>
      </c>
      <c r="EY217">
        <v>0</v>
      </c>
      <c r="FQ217">
        <v>0</v>
      </c>
      <c r="FR217">
        <f t="shared" si="193"/>
        <v>0</v>
      </c>
      <c r="FS217">
        <v>0</v>
      </c>
      <c r="FX217">
        <v>0</v>
      </c>
      <c r="FY217">
        <v>0</v>
      </c>
      <c r="GA217" t="s">
        <v>3</v>
      </c>
      <c r="GD217">
        <v>1</v>
      </c>
      <c r="GF217">
        <v>-811322024</v>
      </c>
      <c r="GG217">
        <v>2</v>
      </c>
      <c r="GH217">
        <v>0</v>
      </c>
      <c r="GI217">
        <v>0</v>
      </c>
      <c r="GJ217">
        <v>0</v>
      </c>
      <c r="GK217">
        <v>0</v>
      </c>
      <c r="GL217">
        <f t="shared" si="194"/>
        <v>0</v>
      </c>
      <c r="GM217">
        <f t="shared" si="195"/>
        <v>298</v>
      </c>
      <c r="GN217">
        <f t="shared" si="196"/>
        <v>298</v>
      </c>
      <c r="GO217">
        <f t="shared" si="197"/>
        <v>0</v>
      </c>
      <c r="GP217">
        <f t="shared" si="198"/>
        <v>0</v>
      </c>
      <c r="GR217">
        <v>0</v>
      </c>
      <c r="GS217">
        <v>0</v>
      </c>
      <c r="GT217">
        <v>0</v>
      </c>
      <c r="GU217" t="s">
        <v>3</v>
      </c>
      <c r="GV217">
        <f t="shared" si="199"/>
        <v>0</v>
      </c>
      <c r="GW217">
        <v>1</v>
      </c>
      <c r="GX217">
        <f t="shared" si="200"/>
        <v>0</v>
      </c>
      <c r="HA217">
        <v>0</v>
      </c>
      <c r="HB217">
        <v>0</v>
      </c>
      <c r="HC217">
        <f t="shared" si="201"/>
        <v>0</v>
      </c>
      <c r="HD217">
        <f>GM217</f>
        <v>298</v>
      </c>
      <c r="IK217">
        <v>0</v>
      </c>
    </row>
    <row r="219" spans="1:245" x14ac:dyDescent="0.2">
      <c r="A219" s="2">
        <v>51</v>
      </c>
      <c r="B219" s="2">
        <f>B202</f>
        <v>1</v>
      </c>
      <c r="C219" s="2">
        <f>A202</f>
        <v>5</v>
      </c>
      <c r="D219" s="2">
        <f>ROW(A202)</f>
        <v>202</v>
      </c>
      <c r="E219" s="2"/>
      <c r="F219" s="2" t="str">
        <f>IF(F202&lt;&gt;"",F202,"")</f>
        <v>Новый подраздел</v>
      </c>
      <c r="G219" s="2" t="str">
        <f>IF(G202&lt;&gt;"",G202,"")</f>
        <v>Установка бортовых камней БК 100.20.8 -365,4м</v>
      </c>
      <c r="H219" s="2">
        <v>0</v>
      </c>
      <c r="I219" s="2"/>
      <c r="J219" s="2"/>
      <c r="K219" s="2"/>
      <c r="L219" s="2"/>
      <c r="M219" s="2"/>
      <c r="N219" s="2"/>
      <c r="O219" s="2">
        <f t="shared" ref="O219:T219" si="204">ROUND(AB219,0)</f>
        <v>22381</v>
      </c>
      <c r="P219" s="2">
        <f t="shared" si="204"/>
        <v>18813</v>
      </c>
      <c r="Q219" s="2">
        <f t="shared" si="204"/>
        <v>974</v>
      </c>
      <c r="R219" s="2">
        <f t="shared" si="204"/>
        <v>51</v>
      </c>
      <c r="S219" s="2">
        <f t="shared" si="204"/>
        <v>2594</v>
      </c>
      <c r="T219" s="2">
        <f t="shared" si="204"/>
        <v>0</v>
      </c>
      <c r="U219" s="2">
        <f>AH219</f>
        <v>382.03341319999993</v>
      </c>
      <c r="V219" s="2">
        <f>AI219</f>
        <v>3.8578000000000001</v>
      </c>
      <c r="W219" s="2">
        <f>ROUND(AJ219,0)</f>
        <v>0</v>
      </c>
      <c r="X219" s="2">
        <f>ROUND(AK219,0)</f>
        <v>3514</v>
      </c>
      <c r="Y219" s="2">
        <f>ROUND(AL219,0)</f>
        <v>1975</v>
      </c>
      <c r="Z219" s="2"/>
      <c r="AA219" s="2"/>
      <c r="AB219" s="2">
        <f>ROUND(SUMIF(AA206:AA217,"=50210945",O206:O217),0)</f>
        <v>22381</v>
      </c>
      <c r="AC219" s="2">
        <f>ROUND(SUMIF(AA206:AA217,"=50210945",P206:P217),0)</f>
        <v>18813</v>
      </c>
      <c r="AD219" s="2">
        <f>ROUND(SUMIF(AA206:AA217,"=50210945",Q206:Q217),0)</f>
        <v>974</v>
      </c>
      <c r="AE219" s="2">
        <f>ROUND(SUMIF(AA206:AA217,"=50210945",R206:R217),0)</f>
        <v>51</v>
      </c>
      <c r="AF219" s="2">
        <f>ROUND(SUMIF(AA206:AA217,"=50210945",S206:S217),0)</f>
        <v>2594</v>
      </c>
      <c r="AG219" s="2">
        <f>ROUND(SUMIF(AA206:AA217,"=50210945",T206:T217),0)</f>
        <v>0</v>
      </c>
      <c r="AH219" s="2">
        <f>SUMIF(AA206:AA217,"=50210945",U206:U217)</f>
        <v>382.03341319999993</v>
      </c>
      <c r="AI219" s="2">
        <f>SUMIF(AA206:AA217,"=50210945",V206:V217)</f>
        <v>3.8578000000000001</v>
      </c>
      <c r="AJ219" s="2">
        <f>ROUND(SUMIF(AA206:AA217,"=50210945",W206:W217),0)</f>
        <v>0</v>
      </c>
      <c r="AK219" s="2">
        <f>ROUND(SUMIF(AA206:AA217,"=50210945",X206:X217),0)</f>
        <v>3514</v>
      </c>
      <c r="AL219" s="2">
        <f>ROUND(SUMIF(AA206:AA217,"=50210945",Y206:Y217),0)</f>
        <v>1975</v>
      </c>
      <c r="AM219" s="2"/>
      <c r="AN219" s="2"/>
      <c r="AO219" s="2">
        <f t="shared" ref="AO219:BD219" si="205">ROUND(BX219,0)</f>
        <v>0</v>
      </c>
      <c r="AP219" s="2">
        <f t="shared" si="205"/>
        <v>0</v>
      </c>
      <c r="AQ219" s="2">
        <f t="shared" si="205"/>
        <v>0</v>
      </c>
      <c r="AR219" s="2">
        <f t="shared" si="205"/>
        <v>27870</v>
      </c>
      <c r="AS219" s="2">
        <f t="shared" si="205"/>
        <v>27870</v>
      </c>
      <c r="AT219" s="2">
        <f t="shared" si="205"/>
        <v>0</v>
      </c>
      <c r="AU219" s="2">
        <f t="shared" si="205"/>
        <v>0</v>
      </c>
      <c r="AV219" s="2">
        <f t="shared" si="205"/>
        <v>18813</v>
      </c>
      <c r="AW219" s="2">
        <f t="shared" si="205"/>
        <v>18813</v>
      </c>
      <c r="AX219" s="2">
        <f t="shared" si="205"/>
        <v>0</v>
      </c>
      <c r="AY219" s="2">
        <f t="shared" si="205"/>
        <v>18813</v>
      </c>
      <c r="AZ219" s="2">
        <f t="shared" si="205"/>
        <v>0</v>
      </c>
      <c r="BA219" s="2">
        <f t="shared" si="205"/>
        <v>0</v>
      </c>
      <c r="BB219" s="2">
        <f t="shared" si="205"/>
        <v>0</v>
      </c>
      <c r="BC219" s="2">
        <f t="shared" si="205"/>
        <v>0</v>
      </c>
      <c r="BD219" s="2">
        <f t="shared" si="205"/>
        <v>489</v>
      </c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>
        <f>ROUND(SUMIF(AA206:AA217,"=50210945",FQ206:FQ217),0)</f>
        <v>0</v>
      </c>
      <c r="BY219" s="2">
        <f>ROUND(SUMIF(AA206:AA217,"=50210945",FR206:FR217),0)</f>
        <v>0</v>
      </c>
      <c r="BZ219" s="2">
        <f>ROUND(SUMIF(AA206:AA217,"=50210945",GL206:GL217),0)</f>
        <v>0</v>
      </c>
      <c r="CA219" s="2">
        <f>ROUND(SUMIF(AA206:AA217,"=50210945",GM206:GM217),0)</f>
        <v>27870</v>
      </c>
      <c r="CB219" s="2">
        <f>ROUND(SUMIF(AA206:AA217,"=50210945",GN206:GN217),0)</f>
        <v>27870</v>
      </c>
      <c r="CC219" s="2">
        <f>ROUND(SUMIF(AA206:AA217,"=50210945",GO206:GO217),0)</f>
        <v>0</v>
      </c>
      <c r="CD219" s="2">
        <f>ROUND(SUMIF(AA206:AA217,"=50210945",GP206:GP217),0)</f>
        <v>0</v>
      </c>
      <c r="CE219" s="2">
        <f>AC219-BX219</f>
        <v>18813</v>
      </c>
      <c r="CF219" s="2">
        <f>AC219-BY219</f>
        <v>18813</v>
      </c>
      <c r="CG219" s="2">
        <f>BX219-BZ219</f>
        <v>0</v>
      </c>
      <c r="CH219" s="2">
        <f>AC219-BX219-BY219+BZ219</f>
        <v>18813</v>
      </c>
      <c r="CI219" s="2">
        <f>BY219-BZ219</f>
        <v>0</v>
      </c>
      <c r="CJ219" s="2">
        <f>ROUND(SUMIF(AA206:AA217,"=50210945",GX206:GX217),0)</f>
        <v>0</v>
      </c>
      <c r="CK219" s="2">
        <f>ROUND(SUMIF(AA206:AA217,"=50210945",GY206:GY217),0)</f>
        <v>0</v>
      </c>
      <c r="CL219" s="2">
        <f>ROUND(SUMIF(AA206:AA217,"=50210945",GZ206:GZ217),0)</f>
        <v>0</v>
      </c>
      <c r="CM219" s="2">
        <f>ROUND(SUMIF(AA206:AA217,"=50210945",HD206:HD217),0)</f>
        <v>489</v>
      </c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  <c r="FC219" s="3"/>
      <c r="FD219" s="3"/>
      <c r="FE219" s="3"/>
      <c r="FF219" s="3"/>
      <c r="FG219" s="3"/>
      <c r="FH219" s="3"/>
      <c r="FI219" s="3"/>
      <c r="FJ219" s="3"/>
      <c r="FK219" s="3"/>
      <c r="FL219" s="3"/>
      <c r="FM219" s="3"/>
      <c r="FN219" s="3"/>
      <c r="FO219" s="3"/>
      <c r="FP219" s="3"/>
      <c r="FQ219" s="3"/>
      <c r="FR219" s="3"/>
      <c r="FS219" s="3"/>
      <c r="FT219" s="3"/>
      <c r="FU219" s="3"/>
      <c r="FV219" s="3"/>
      <c r="FW219" s="3"/>
      <c r="FX219" s="3"/>
      <c r="FY219" s="3"/>
      <c r="FZ219" s="3"/>
      <c r="GA219" s="3"/>
      <c r="GB219" s="3"/>
      <c r="GC219" s="3"/>
      <c r="GD219" s="3"/>
      <c r="GE219" s="3"/>
      <c r="GF219" s="3"/>
      <c r="GG219" s="3"/>
      <c r="GH219" s="3"/>
      <c r="GI219" s="3"/>
      <c r="GJ219" s="3"/>
      <c r="GK219" s="3"/>
      <c r="GL219" s="3"/>
      <c r="GM219" s="3"/>
      <c r="GN219" s="3"/>
      <c r="GO219" s="3"/>
      <c r="GP219" s="3"/>
      <c r="GQ219" s="3"/>
      <c r="GR219" s="3"/>
      <c r="GS219" s="3"/>
      <c r="GT219" s="3"/>
      <c r="GU219" s="3"/>
      <c r="GV219" s="3"/>
      <c r="GW219" s="3"/>
      <c r="GX219" s="3">
        <v>0</v>
      </c>
    </row>
    <row r="221" spans="1:245" x14ac:dyDescent="0.2">
      <c r="A221" s="4">
        <v>50</v>
      </c>
      <c r="B221" s="4">
        <v>0</v>
      </c>
      <c r="C221" s="4">
        <v>0</v>
      </c>
      <c r="D221" s="4">
        <v>1</v>
      </c>
      <c r="E221" s="4">
        <v>201</v>
      </c>
      <c r="F221" s="4">
        <f>ROUND(Source!O219,O221)</f>
        <v>22381</v>
      </c>
      <c r="G221" s="4" t="s">
        <v>89</v>
      </c>
      <c r="H221" s="4" t="s">
        <v>90</v>
      </c>
      <c r="I221" s="4"/>
      <c r="J221" s="4"/>
      <c r="K221" s="4">
        <v>201</v>
      </c>
      <c r="L221" s="4">
        <v>1</v>
      </c>
      <c r="M221" s="4">
        <v>3</v>
      </c>
      <c r="N221" s="4" t="s">
        <v>3</v>
      </c>
      <c r="O221" s="4">
        <v>0</v>
      </c>
      <c r="P221" s="4"/>
      <c r="Q221" s="4"/>
      <c r="R221" s="4"/>
      <c r="S221" s="4"/>
      <c r="T221" s="4"/>
      <c r="U221" s="4"/>
      <c r="V221" s="4"/>
      <c r="W221" s="4"/>
    </row>
    <row r="222" spans="1:245" x14ac:dyDescent="0.2">
      <c r="A222" s="4">
        <v>50</v>
      </c>
      <c r="B222" s="4">
        <v>0</v>
      </c>
      <c r="C222" s="4">
        <v>0</v>
      </c>
      <c r="D222" s="4">
        <v>1</v>
      </c>
      <c r="E222" s="4">
        <v>202</v>
      </c>
      <c r="F222" s="4">
        <f>ROUND(Source!P219,O222)</f>
        <v>18813</v>
      </c>
      <c r="G222" s="4" t="s">
        <v>91</v>
      </c>
      <c r="H222" s="4" t="s">
        <v>92</v>
      </c>
      <c r="I222" s="4"/>
      <c r="J222" s="4"/>
      <c r="K222" s="4">
        <v>202</v>
      </c>
      <c r="L222" s="4">
        <v>2</v>
      </c>
      <c r="M222" s="4">
        <v>3</v>
      </c>
      <c r="N222" s="4" t="s">
        <v>3</v>
      </c>
      <c r="O222" s="4">
        <v>0</v>
      </c>
      <c r="P222" s="4"/>
      <c r="Q222" s="4"/>
      <c r="R222" s="4"/>
      <c r="S222" s="4"/>
      <c r="T222" s="4"/>
      <c r="U222" s="4"/>
      <c r="V222" s="4"/>
      <c r="W222" s="4"/>
    </row>
    <row r="223" spans="1:245" x14ac:dyDescent="0.2">
      <c r="A223" s="4">
        <v>50</v>
      </c>
      <c r="B223" s="4">
        <v>0</v>
      </c>
      <c r="C223" s="4">
        <v>0</v>
      </c>
      <c r="D223" s="4">
        <v>1</v>
      </c>
      <c r="E223" s="4">
        <v>222</v>
      </c>
      <c r="F223" s="4">
        <f>ROUND(Source!AO219,O223)</f>
        <v>0</v>
      </c>
      <c r="G223" s="4" t="s">
        <v>93</v>
      </c>
      <c r="H223" s="4" t="s">
        <v>94</v>
      </c>
      <c r="I223" s="4"/>
      <c r="J223" s="4"/>
      <c r="K223" s="4">
        <v>222</v>
      </c>
      <c r="L223" s="4">
        <v>3</v>
      </c>
      <c r="M223" s="4">
        <v>3</v>
      </c>
      <c r="N223" s="4" t="s">
        <v>3</v>
      </c>
      <c r="O223" s="4">
        <v>0</v>
      </c>
      <c r="P223" s="4"/>
      <c r="Q223" s="4"/>
      <c r="R223" s="4"/>
      <c r="S223" s="4"/>
      <c r="T223" s="4"/>
      <c r="U223" s="4"/>
      <c r="V223" s="4"/>
      <c r="W223" s="4"/>
    </row>
    <row r="224" spans="1:245" x14ac:dyDescent="0.2">
      <c r="A224" s="4">
        <v>50</v>
      </c>
      <c r="B224" s="4">
        <v>0</v>
      </c>
      <c r="C224" s="4">
        <v>0</v>
      </c>
      <c r="D224" s="4">
        <v>1</v>
      </c>
      <c r="E224" s="4">
        <v>225</v>
      </c>
      <c r="F224" s="4">
        <f>ROUND(Source!AV219,O224)</f>
        <v>18813</v>
      </c>
      <c r="G224" s="4" t="s">
        <v>95</v>
      </c>
      <c r="H224" s="4" t="s">
        <v>96</v>
      </c>
      <c r="I224" s="4"/>
      <c r="J224" s="4"/>
      <c r="K224" s="4">
        <v>225</v>
      </c>
      <c r="L224" s="4">
        <v>4</v>
      </c>
      <c r="M224" s="4">
        <v>3</v>
      </c>
      <c r="N224" s="4" t="s">
        <v>3</v>
      </c>
      <c r="O224" s="4">
        <v>0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226</v>
      </c>
      <c r="F225" s="4">
        <f>ROUND(Source!AW219,O225)</f>
        <v>18813</v>
      </c>
      <c r="G225" s="4" t="s">
        <v>97</v>
      </c>
      <c r="H225" s="4" t="s">
        <v>98</v>
      </c>
      <c r="I225" s="4"/>
      <c r="J225" s="4"/>
      <c r="K225" s="4">
        <v>226</v>
      </c>
      <c r="L225" s="4">
        <v>5</v>
      </c>
      <c r="M225" s="4">
        <v>3</v>
      </c>
      <c r="N225" s="4" t="s">
        <v>3</v>
      </c>
      <c r="O225" s="4">
        <v>0</v>
      </c>
      <c r="P225" s="4"/>
      <c r="Q225" s="4"/>
      <c r="R225" s="4"/>
      <c r="S225" s="4"/>
      <c r="T225" s="4"/>
      <c r="U225" s="4"/>
      <c r="V225" s="4"/>
      <c r="W225" s="4"/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227</v>
      </c>
      <c r="F226" s="4">
        <f>ROUND(Source!AX219,O226)</f>
        <v>0</v>
      </c>
      <c r="G226" s="4" t="s">
        <v>99</v>
      </c>
      <c r="H226" s="4" t="s">
        <v>100</v>
      </c>
      <c r="I226" s="4"/>
      <c r="J226" s="4"/>
      <c r="K226" s="4">
        <v>227</v>
      </c>
      <c r="L226" s="4">
        <v>6</v>
      </c>
      <c r="M226" s="4">
        <v>3</v>
      </c>
      <c r="N226" s="4" t="s">
        <v>3</v>
      </c>
      <c r="O226" s="4">
        <v>0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228</v>
      </c>
      <c r="F227" s="4">
        <f>ROUND(Source!AY219,O227)</f>
        <v>18813</v>
      </c>
      <c r="G227" s="4" t="s">
        <v>101</v>
      </c>
      <c r="H227" s="4" t="s">
        <v>102</v>
      </c>
      <c r="I227" s="4"/>
      <c r="J227" s="4"/>
      <c r="K227" s="4">
        <v>228</v>
      </c>
      <c r="L227" s="4">
        <v>7</v>
      </c>
      <c r="M227" s="4">
        <v>3</v>
      </c>
      <c r="N227" s="4" t="s">
        <v>3</v>
      </c>
      <c r="O227" s="4">
        <v>0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216</v>
      </c>
      <c r="F228" s="4">
        <f>ROUND(Source!AP219,O228)</f>
        <v>0</v>
      </c>
      <c r="G228" s="4" t="s">
        <v>103</v>
      </c>
      <c r="H228" s="4" t="s">
        <v>104</v>
      </c>
      <c r="I228" s="4"/>
      <c r="J228" s="4"/>
      <c r="K228" s="4">
        <v>216</v>
      </c>
      <c r="L228" s="4">
        <v>8</v>
      </c>
      <c r="M228" s="4">
        <v>3</v>
      </c>
      <c r="N228" s="4" t="s">
        <v>3</v>
      </c>
      <c r="O228" s="4">
        <v>0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223</v>
      </c>
      <c r="F229" s="4">
        <f>ROUND(Source!AQ219,O229)</f>
        <v>0</v>
      </c>
      <c r="G229" s="4" t="s">
        <v>105</v>
      </c>
      <c r="H229" s="4" t="s">
        <v>106</v>
      </c>
      <c r="I229" s="4"/>
      <c r="J229" s="4"/>
      <c r="K229" s="4">
        <v>223</v>
      </c>
      <c r="L229" s="4">
        <v>9</v>
      </c>
      <c r="M229" s="4">
        <v>3</v>
      </c>
      <c r="N229" s="4" t="s">
        <v>3</v>
      </c>
      <c r="O229" s="4">
        <v>0</v>
      </c>
      <c r="P229" s="4"/>
      <c r="Q229" s="4"/>
      <c r="R229" s="4"/>
      <c r="S229" s="4"/>
      <c r="T229" s="4"/>
      <c r="U229" s="4"/>
      <c r="V229" s="4"/>
      <c r="W229" s="4"/>
    </row>
    <row r="230" spans="1:23" x14ac:dyDescent="0.2">
      <c r="A230" s="4">
        <v>50</v>
      </c>
      <c r="B230" s="4">
        <v>0</v>
      </c>
      <c r="C230" s="4">
        <v>0</v>
      </c>
      <c r="D230" s="4">
        <v>1</v>
      </c>
      <c r="E230" s="4">
        <v>229</v>
      </c>
      <c r="F230" s="4">
        <f>ROUND(Source!AZ219,O230)</f>
        <v>0</v>
      </c>
      <c r="G230" s="4" t="s">
        <v>107</v>
      </c>
      <c r="H230" s="4" t="s">
        <v>108</v>
      </c>
      <c r="I230" s="4"/>
      <c r="J230" s="4"/>
      <c r="K230" s="4">
        <v>229</v>
      </c>
      <c r="L230" s="4">
        <v>10</v>
      </c>
      <c r="M230" s="4">
        <v>3</v>
      </c>
      <c r="N230" s="4" t="s">
        <v>3</v>
      </c>
      <c r="O230" s="4">
        <v>0</v>
      </c>
      <c r="P230" s="4"/>
      <c r="Q230" s="4"/>
      <c r="R230" s="4"/>
      <c r="S230" s="4"/>
      <c r="T230" s="4"/>
      <c r="U230" s="4"/>
      <c r="V230" s="4"/>
      <c r="W230" s="4"/>
    </row>
    <row r="231" spans="1:23" x14ac:dyDescent="0.2">
      <c r="A231" s="4">
        <v>50</v>
      </c>
      <c r="B231" s="4">
        <v>0</v>
      </c>
      <c r="C231" s="4">
        <v>0</v>
      </c>
      <c r="D231" s="4">
        <v>1</v>
      </c>
      <c r="E231" s="4">
        <v>203</v>
      </c>
      <c r="F231" s="4">
        <f>ROUND(Source!Q219,O231)</f>
        <v>974</v>
      </c>
      <c r="G231" s="4" t="s">
        <v>109</v>
      </c>
      <c r="H231" s="4" t="s">
        <v>110</v>
      </c>
      <c r="I231" s="4"/>
      <c r="J231" s="4"/>
      <c r="K231" s="4">
        <v>203</v>
      </c>
      <c r="L231" s="4">
        <v>11</v>
      </c>
      <c r="M231" s="4">
        <v>3</v>
      </c>
      <c r="N231" s="4" t="s">
        <v>3</v>
      </c>
      <c r="O231" s="4">
        <v>0</v>
      </c>
      <c r="P231" s="4"/>
      <c r="Q231" s="4"/>
      <c r="R231" s="4"/>
      <c r="S231" s="4"/>
      <c r="T231" s="4"/>
      <c r="U231" s="4"/>
      <c r="V231" s="4"/>
      <c r="W231" s="4"/>
    </row>
    <row r="232" spans="1:23" x14ac:dyDescent="0.2">
      <c r="A232" s="4">
        <v>50</v>
      </c>
      <c r="B232" s="4">
        <v>0</v>
      </c>
      <c r="C232" s="4">
        <v>0</v>
      </c>
      <c r="D232" s="4">
        <v>1</v>
      </c>
      <c r="E232" s="4">
        <v>231</v>
      </c>
      <c r="F232" s="4">
        <f>ROUND(Source!BB219,O232)</f>
        <v>0</v>
      </c>
      <c r="G232" s="4" t="s">
        <v>111</v>
      </c>
      <c r="H232" s="4" t="s">
        <v>112</v>
      </c>
      <c r="I232" s="4"/>
      <c r="J232" s="4"/>
      <c r="K232" s="4">
        <v>231</v>
      </c>
      <c r="L232" s="4">
        <v>12</v>
      </c>
      <c r="M232" s="4">
        <v>3</v>
      </c>
      <c r="N232" s="4" t="s">
        <v>3</v>
      </c>
      <c r="O232" s="4">
        <v>0</v>
      </c>
      <c r="P232" s="4"/>
      <c r="Q232" s="4"/>
      <c r="R232" s="4"/>
      <c r="S232" s="4"/>
      <c r="T232" s="4"/>
      <c r="U232" s="4"/>
      <c r="V232" s="4"/>
      <c r="W232" s="4"/>
    </row>
    <row r="233" spans="1:23" x14ac:dyDescent="0.2">
      <c r="A233" s="4">
        <v>50</v>
      </c>
      <c r="B233" s="4">
        <v>0</v>
      </c>
      <c r="C233" s="4">
        <v>0</v>
      </c>
      <c r="D233" s="4">
        <v>1</v>
      </c>
      <c r="E233" s="4">
        <v>204</v>
      </c>
      <c r="F233" s="4">
        <f>ROUND(Source!R219,O233)</f>
        <v>51</v>
      </c>
      <c r="G233" s="4" t="s">
        <v>113</v>
      </c>
      <c r="H233" s="4" t="s">
        <v>114</v>
      </c>
      <c r="I233" s="4"/>
      <c r="J233" s="4"/>
      <c r="K233" s="4">
        <v>204</v>
      </c>
      <c r="L233" s="4">
        <v>13</v>
      </c>
      <c r="M233" s="4">
        <v>3</v>
      </c>
      <c r="N233" s="4" t="s">
        <v>3</v>
      </c>
      <c r="O233" s="4">
        <v>0</v>
      </c>
      <c r="P233" s="4"/>
      <c r="Q233" s="4"/>
      <c r="R233" s="4"/>
      <c r="S233" s="4"/>
      <c r="T233" s="4"/>
      <c r="U233" s="4"/>
      <c r="V233" s="4"/>
      <c r="W233" s="4"/>
    </row>
    <row r="234" spans="1:23" x14ac:dyDescent="0.2">
      <c r="A234" s="4">
        <v>50</v>
      </c>
      <c r="B234" s="4">
        <v>0</v>
      </c>
      <c r="C234" s="4">
        <v>0</v>
      </c>
      <c r="D234" s="4">
        <v>1</v>
      </c>
      <c r="E234" s="4">
        <v>205</v>
      </c>
      <c r="F234" s="4">
        <f>ROUND(Source!S219,O234)</f>
        <v>2594</v>
      </c>
      <c r="G234" s="4" t="s">
        <v>115</v>
      </c>
      <c r="H234" s="4" t="s">
        <v>116</v>
      </c>
      <c r="I234" s="4"/>
      <c r="J234" s="4"/>
      <c r="K234" s="4">
        <v>205</v>
      </c>
      <c r="L234" s="4">
        <v>14</v>
      </c>
      <c r="M234" s="4">
        <v>3</v>
      </c>
      <c r="N234" s="4" t="s">
        <v>3</v>
      </c>
      <c r="O234" s="4">
        <v>0</v>
      </c>
      <c r="P234" s="4"/>
      <c r="Q234" s="4"/>
      <c r="R234" s="4"/>
      <c r="S234" s="4"/>
      <c r="T234" s="4"/>
      <c r="U234" s="4"/>
      <c r="V234" s="4"/>
      <c r="W234" s="4"/>
    </row>
    <row r="235" spans="1:23" x14ac:dyDescent="0.2">
      <c r="A235" s="4">
        <v>50</v>
      </c>
      <c r="B235" s="4">
        <v>0</v>
      </c>
      <c r="C235" s="4">
        <v>0</v>
      </c>
      <c r="D235" s="4">
        <v>1</v>
      </c>
      <c r="E235" s="4">
        <v>232</v>
      </c>
      <c r="F235" s="4">
        <f>ROUND(Source!BC219,O235)</f>
        <v>0</v>
      </c>
      <c r="G235" s="4" t="s">
        <v>117</v>
      </c>
      <c r="H235" s="4" t="s">
        <v>118</v>
      </c>
      <c r="I235" s="4"/>
      <c r="J235" s="4"/>
      <c r="K235" s="4">
        <v>232</v>
      </c>
      <c r="L235" s="4">
        <v>15</v>
      </c>
      <c r="M235" s="4">
        <v>3</v>
      </c>
      <c r="N235" s="4" t="s">
        <v>3</v>
      </c>
      <c r="O235" s="4">
        <v>0</v>
      </c>
      <c r="P235" s="4"/>
      <c r="Q235" s="4"/>
      <c r="R235" s="4"/>
      <c r="S235" s="4"/>
      <c r="T235" s="4"/>
      <c r="U235" s="4"/>
      <c r="V235" s="4"/>
      <c r="W235" s="4"/>
    </row>
    <row r="236" spans="1:23" x14ac:dyDescent="0.2">
      <c r="A236" s="4">
        <v>50</v>
      </c>
      <c r="B236" s="4">
        <v>0</v>
      </c>
      <c r="C236" s="4">
        <v>0</v>
      </c>
      <c r="D236" s="4">
        <v>1</v>
      </c>
      <c r="E236" s="4">
        <v>214</v>
      </c>
      <c r="F236" s="4">
        <f>ROUND(Source!AS219,O236)</f>
        <v>27870</v>
      </c>
      <c r="G236" s="4" t="s">
        <v>119</v>
      </c>
      <c r="H236" s="4" t="s">
        <v>120</v>
      </c>
      <c r="I236" s="4"/>
      <c r="J236" s="4"/>
      <c r="K236" s="4">
        <v>214</v>
      </c>
      <c r="L236" s="4">
        <v>16</v>
      </c>
      <c r="M236" s="4">
        <v>3</v>
      </c>
      <c r="N236" s="4" t="s">
        <v>3</v>
      </c>
      <c r="O236" s="4">
        <v>0</v>
      </c>
      <c r="P236" s="4"/>
      <c r="Q236" s="4"/>
      <c r="R236" s="4"/>
      <c r="S236" s="4"/>
      <c r="T236" s="4"/>
      <c r="U236" s="4"/>
      <c r="V236" s="4"/>
      <c r="W236" s="4"/>
    </row>
    <row r="237" spans="1:23" x14ac:dyDescent="0.2">
      <c r="A237" s="4">
        <v>50</v>
      </c>
      <c r="B237" s="4">
        <v>0</v>
      </c>
      <c r="C237" s="4">
        <v>0</v>
      </c>
      <c r="D237" s="4">
        <v>1</v>
      </c>
      <c r="E237" s="4">
        <v>215</v>
      </c>
      <c r="F237" s="4">
        <f>ROUND(Source!AT219,O237)</f>
        <v>0</v>
      </c>
      <c r="G237" s="4" t="s">
        <v>121</v>
      </c>
      <c r="H237" s="4" t="s">
        <v>122</v>
      </c>
      <c r="I237" s="4"/>
      <c r="J237" s="4"/>
      <c r="K237" s="4">
        <v>215</v>
      </c>
      <c r="L237" s="4">
        <v>17</v>
      </c>
      <c r="M237" s="4">
        <v>3</v>
      </c>
      <c r="N237" s="4" t="s">
        <v>3</v>
      </c>
      <c r="O237" s="4">
        <v>0</v>
      </c>
      <c r="P237" s="4"/>
      <c r="Q237" s="4"/>
      <c r="R237" s="4"/>
      <c r="S237" s="4"/>
      <c r="T237" s="4"/>
      <c r="U237" s="4"/>
      <c r="V237" s="4"/>
      <c r="W237" s="4"/>
    </row>
    <row r="238" spans="1:23" x14ac:dyDescent="0.2">
      <c r="A238" s="4">
        <v>50</v>
      </c>
      <c r="B238" s="4">
        <v>0</v>
      </c>
      <c r="C238" s="4">
        <v>0</v>
      </c>
      <c r="D238" s="4">
        <v>1</v>
      </c>
      <c r="E238" s="4">
        <v>217</v>
      </c>
      <c r="F238" s="4">
        <f>ROUND(Source!AU219,O238)</f>
        <v>0</v>
      </c>
      <c r="G238" s="4" t="s">
        <v>123</v>
      </c>
      <c r="H238" s="4" t="s">
        <v>124</v>
      </c>
      <c r="I238" s="4"/>
      <c r="J238" s="4"/>
      <c r="K238" s="4">
        <v>217</v>
      </c>
      <c r="L238" s="4">
        <v>18</v>
      </c>
      <c r="M238" s="4">
        <v>3</v>
      </c>
      <c r="N238" s="4" t="s">
        <v>3</v>
      </c>
      <c r="O238" s="4">
        <v>0</v>
      </c>
      <c r="P238" s="4"/>
      <c r="Q238" s="4"/>
      <c r="R238" s="4"/>
      <c r="S238" s="4"/>
      <c r="T238" s="4"/>
      <c r="U238" s="4"/>
      <c r="V238" s="4"/>
      <c r="W238" s="4"/>
    </row>
    <row r="239" spans="1:23" x14ac:dyDescent="0.2">
      <c r="A239" s="4">
        <v>50</v>
      </c>
      <c r="B239" s="4">
        <v>0</v>
      </c>
      <c r="C239" s="4">
        <v>0</v>
      </c>
      <c r="D239" s="4">
        <v>1</v>
      </c>
      <c r="E239" s="4">
        <v>230</v>
      </c>
      <c r="F239" s="4">
        <f>ROUND(Source!BA219,O239)</f>
        <v>0</v>
      </c>
      <c r="G239" s="4" t="s">
        <v>125</v>
      </c>
      <c r="H239" s="4" t="s">
        <v>126</v>
      </c>
      <c r="I239" s="4"/>
      <c r="J239" s="4"/>
      <c r="K239" s="4">
        <v>230</v>
      </c>
      <c r="L239" s="4">
        <v>19</v>
      </c>
      <c r="M239" s="4">
        <v>3</v>
      </c>
      <c r="N239" s="4" t="s">
        <v>3</v>
      </c>
      <c r="O239" s="4">
        <v>0</v>
      </c>
      <c r="P239" s="4"/>
      <c r="Q239" s="4"/>
      <c r="R239" s="4"/>
      <c r="S239" s="4"/>
      <c r="T239" s="4"/>
      <c r="U239" s="4"/>
      <c r="V239" s="4"/>
      <c r="W239" s="4"/>
    </row>
    <row r="240" spans="1:23" x14ac:dyDescent="0.2">
      <c r="A240" s="4">
        <v>50</v>
      </c>
      <c r="B240" s="4">
        <v>0</v>
      </c>
      <c r="C240" s="4">
        <v>0</v>
      </c>
      <c r="D240" s="4">
        <v>1</v>
      </c>
      <c r="E240" s="4">
        <v>206</v>
      </c>
      <c r="F240" s="4">
        <f>ROUND(Source!T219,O240)</f>
        <v>0</v>
      </c>
      <c r="G240" s="4" t="s">
        <v>127</v>
      </c>
      <c r="H240" s="4" t="s">
        <v>128</v>
      </c>
      <c r="I240" s="4"/>
      <c r="J240" s="4"/>
      <c r="K240" s="4">
        <v>206</v>
      </c>
      <c r="L240" s="4">
        <v>20</v>
      </c>
      <c r="M240" s="4">
        <v>3</v>
      </c>
      <c r="N240" s="4" t="s">
        <v>3</v>
      </c>
      <c r="O240" s="4">
        <v>0</v>
      </c>
      <c r="P240" s="4"/>
      <c r="Q240" s="4"/>
      <c r="R240" s="4"/>
      <c r="S240" s="4"/>
      <c r="T240" s="4"/>
      <c r="U240" s="4"/>
      <c r="V240" s="4"/>
      <c r="W240" s="4"/>
    </row>
    <row r="241" spans="1:245" x14ac:dyDescent="0.2">
      <c r="A241" s="4">
        <v>50</v>
      </c>
      <c r="B241" s="4">
        <v>0</v>
      </c>
      <c r="C241" s="4">
        <v>0</v>
      </c>
      <c r="D241" s="4">
        <v>1</v>
      </c>
      <c r="E241" s="4">
        <v>207</v>
      </c>
      <c r="F241" s="4">
        <f>Source!U219</f>
        <v>382.03341319999993</v>
      </c>
      <c r="G241" s="4" t="s">
        <v>129</v>
      </c>
      <c r="H241" s="4" t="s">
        <v>130</v>
      </c>
      <c r="I241" s="4"/>
      <c r="J241" s="4"/>
      <c r="K241" s="4">
        <v>207</v>
      </c>
      <c r="L241" s="4">
        <v>21</v>
      </c>
      <c r="M241" s="4">
        <v>3</v>
      </c>
      <c r="N241" s="4" t="s">
        <v>3</v>
      </c>
      <c r="O241" s="4">
        <v>-1</v>
      </c>
      <c r="P241" s="4"/>
      <c r="Q241" s="4"/>
      <c r="R241" s="4"/>
      <c r="S241" s="4"/>
      <c r="T241" s="4"/>
      <c r="U241" s="4"/>
      <c r="V241" s="4"/>
      <c r="W241" s="4"/>
    </row>
    <row r="242" spans="1:245" x14ac:dyDescent="0.2">
      <c r="A242" s="4">
        <v>50</v>
      </c>
      <c r="B242" s="4">
        <v>0</v>
      </c>
      <c r="C242" s="4">
        <v>0</v>
      </c>
      <c r="D242" s="4">
        <v>1</v>
      </c>
      <c r="E242" s="4">
        <v>208</v>
      </c>
      <c r="F242" s="4">
        <f>Source!V219</f>
        <v>3.8578000000000001</v>
      </c>
      <c r="G242" s="4" t="s">
        <v>131</v>
      </c>
      <c r="H242" s="4" t="s">
        <v>132</v>
      </c>
      <c r="I242" s="4"/>
      <c r="J242" s="4"/>
      <c r="K242" s="4">
        <v>208</v>
      </c>
      <c r="L242" s="4">
        <v>22</v>
      </c>
      <c r="M242" s="4">
        <v>3</v>
      </c>
      <c r="N242" s="4" t="s">
        <v>3</v>
      </c>
      <c r="O242" s="4">
        <v>-1</v>
      </c>
      <c r="P242" s="4"/>
      <c r="Q242" s="4"/>
      <c r="R242" s="4"/>
      <c r="S242" s="4"/>
      <c r="T242" s="4"/>
      <c r="U242" s="4"/>
      <c r="V242" s="4"/>
      <c r="W242" s="4"/>
    </row>
    <row r="243" spans="1:245" x14ac:dyDescent="0.2">
      <c r="A243" s="4">
        <v>50</v>
      </c>
      <c r="B243" s="4">
        <v>0</v>
      </c>
      <c r="C243" s="4">
        <v>0</v>
      </c>
      <c r="D243" s="4">
        <v>1</v>
      </c>
      <c r="E243" s="4">
        <v>209</v>
      </c>
      <c r="F243" s="4">
        <f>ROUND(Source!W219,O243)</f>
        <v>0</v>
      </c>
      <c r="G243" s="4" t="s">
        <v>133</v>
      </c>
      <c r="H243" s="4" t="s">
        <v>134</v>
      </c>
      <c r="I243" s="4"/>
      <c r="J243" s="4"/>
      <c r="K243" s="4">
        <v>209</v>
      </c>
      <c r="L243" s="4">
        <v>23</v>
      </c>
      <c r="M243" s="4">
        <v>3</v>
      </c>
      <c r="N243" s="4" t="s">
        <v>3</v>
      </c>
      <c r="O243" s="4">
        <v>0</v>
      </c>
      <c r="P243" s="4"/>
      <c r="Q243" s="4"/>
      <c r="R243" s="4"/>
      <c r="S243" s="4"/>
      <c r="T243" s="4"/>
      <c r="U243" s="4"/>
      <c r="V243" s="4"/>
      <c r="W243" s="4"/>
    </row>
    <row r="244" spans="1:245" x14ac:dyDescent="0.2">
      <c r="A244" s="4">
        <v>50</v>
      </c>
      <c r="B244" s="4">
        <v>0</v>
      </c>
      <c r="C244" s="4">
        <v>0</v>
      </c>
      <c r="D244" s="4">
        <v>1</v>
      </c>
      <c r="E244" s="4">
        <v>233</v>
      </c>
      <c r="F244" s="4">
        <f>ROUND(Source!BD219,O244)</f>
        <v>489</v>
      </c>
      <c r="G244" s="4" t="s">
        <v>135</v>
      </c>
      <c r="H244" s="4" t="s">
        <v>136</v>
      </c>
      <c r="I244" s="4"/>
      <c r="J244" s="4"/>
      <c r="K244" s="4">
        <v>233</v>
      </c>
      <c r="L244" s="4">
        <v>24</v>
      </c>
      <c r="M244" s="4">
        <v>3</v>
      </c>
      <c r="N244" s="4" t="s">
        <v>3</v>
      </c>
      <c r="O244" s="4">
        <v>0</v>
      </c>
      <c r="P244" s="4"/>
      <c r="Q244" s="4"/>
      <c r="R244" s="4"/>
      <c r="S244" s="4"/>
      <c r="T244" s="4"/>
      <c r="U244" s="4"/>
      <c r="V244" s="4"/>
      <c r="W244" s="4"/>
    </row>
    <row r="245" spans="1:245" x14ac:dyDescent="0.2">
      <c r="A245" s="4">
        <v>50</v>
      </c>
      <c r="B245" s="4">
        <v>0</v>
      </c>
      <c r="C245" s="4">
        <v>0</v>
      </c>
      <c r="D245" s="4">
        <v>1</v>
      </c>
      <c r="E245" s="4">
        <v>210</v>
      </c>
      <c r="F245" s="4">
        <f>ROUND(Source!X219,O245)</f>
        <v>3514</v>
      </c>
      <c r="G245" s="4" t="s">
        <v>137</v>
      </c>
      <c r="H245" s="4" t="s">
        <v>138</v>
      </c>
      <c r="I245" s="4"/>
      <c r="J245" s="4"/>
      <c r="K245" s="4">
        <v>210</v>
      </c>
      <c r="L245" s="4">
        <v>25</v>
      </c>
      <c r="M245" s="4">
        <v>3</v>
      </c>
      <c r="N245" s="4" t="s">
        <v>3</v>
      </c>
      <c r="O245" s="4">
        <v>0</v>
      </c>
      <c r="P245" s="4"/>
      <c r="Q245" s="4"/>
      <c r="R245" s="4"/>
      <c r="S245" s="4"/>
      <c r="T245" s="4"/>
      <c r="U245" s="4"/>
      <c r="V245" s="4"/>
      <c r="W245" s="4"/>
    </row>
    <row r="246" spans="1:245" x14ac:dyDescent="0.2">
      <c r="A246" s="4">
        <v>50</v>
      </c>
      <c r="B246" s="4">
        <v>0</v>
      </c>
      <c r="C246" s="4">
        <v>0</v>
      </c>
      <c r="D246" s="4">
        <v>1</v>
      </c>
      <c r="E246" s="4">
        <v>211</v>
      </c>
      <c r="F246" s="4">
        <f>ROUND(Source!Y219,O246)</f>
        <v>1975</v>
      </c>
      <c r="G246" s="4" t="s">
        <v>139</v>
      </c>
      <c r="H246" s="4" t="s">
        <v>140</v>
      </c>
      <c r="I246" s="4"/>
      <c r="J246" s="4"/>
      <c r="K246" s="4">
        <v>211</v>
      </c>
      <c r="L246" s="4">
        <v>26</v>
      </c>
      <c r="M246" s="4">
        <v>3</v>
      </c>
      <c r="N246" s="4" t="s">
        <v>3</v>
      </c>
      <c r="O246" s="4">
        <v>0</v>
      </c>
      <c r="P246" s="4"/>
      <c r="Q246" s="4"/>
      <c r="R246" s="4"/>
      <c r="S246" s="4"/>
      <c r="T246" s="4"/>
      <c r="U246" s="4"/>
      <c r="V246" s="4"/>
      <c r="W246" s="4"/>
    </row>
    <row r="247" spans="1:245" x14ac:dyDescent="0.2">
      <c r="A247" s="4">
        <v>50</v>
      </c>
      <c r="B247" s="4">
        <v>0</v>
      </c>
      <c r="C247" s="4">
        <v>0</v>
      </c>
      <c r="D247" s="4">
        <v>1</v>
      </c>
      <c r="E247" s="4">
        <v>224</v>
      </c>
      <c r="F247" s="4">
        <f>ROUND(Source!AR219,O247)</f>
        <v>27870</v>
      </c>
      <c r="G247" s="4" t="s">
        <v>141</v>
      </c>
      <c r="H247" s="4" t="s">
        <v>142</v>
      </c>
      <c r="I247" s="4"/>
      <c r="J247" s="4"/>
      <c r="K247" s="4">
        <v>224</v>
      </c>
      <c r="L247" s="4">
        <v>27</v>
      </c>
      <c r="M247" s="4">
        <v>3</v>
      </c>
      <c r="N247" s="4" t="s">
        <v>3</v>
      </c>
      <c r="O247" s="4">
        <v>0</v>
      </c>
      <c r="P247" s="4"/>
      <c r="Q247" s="4"/>
      <c r="R247" s="4"/>
      <c r="S247" s="4"/>
      <c r="T247" s="4"/>
      <c r="U247" s="4"/>
      <c r="V247" s="4"/>
      <c r="W247" s="4"/>
    </row>
    <row r="249" spans="1:245" x14ac:dyDescent="0.2">
      <c r="A249" s="1">
        <v>5</v>
      </c>
      <c r="B249" s="1">
        <v>1</v>
      </c>
      <c r="C249" s="1"/>
      <c r="D249" s="1">
        <f>ROW(A263)</f>
        <v>263</v>
      </c>
      <c r="E249" s="1"/>
      <c r="F249" s="1" t="s">
        <v>15</v>
      </c>
      <c r="G249" s="1" t="s">
        <v>253</v>
      </c>
      <c r="H249" s="1" t="s">
        <v>3</v>
      </c>
      <c r="I249" s="1">
        <v>0</v>
      </c>
      <c r="J249" s="1"/>
      <c r="K249" s="1">
        <v>0</v>
      </c>
      <c r="L249" s="1"/>
      <c r="M249" s="1"/>
      <c r="N249" s="1"/>
      <c r="O249" s="1"/>
      <c r="P249" s="1"/>
      <c r="Q249" s="1"/>
      <c r="R249" s="1"/>
      <c r="S249" s="1"/>
      <c r="T249" s="1"/>
      <c r="U249" s="1" t="s">
        <v>3</v>
      </c>
      <c r="V249" s="1">
        <v>0</v>
      </c>
      <c r="W249" s="1"/>
      <c r="X249" s="1"/>
      <c r="Y249" s="1"/>
      <c r="Z249" s="1"/>
      <c r="AA249" s="1"/>
      <c r="AB249" s="1" t="s">
        <v>3</v>
      </c>
      <c r="AC249" s="1" t="s">
        <v>3</v>
      </c>
      <c r="AD249" s="1" t="s">
        <v>3</v>
      </c>
      <c r="AE249" s="1" t="s">
        <v>3</v>
      </c>
      <c r="AF249" s="1" t="s">
        <v>3</v>
      </c>
      <c r="AG249" s="1" t="s">
        <v>3</v>
      </c>
      <c r="AH249" s="1"/>
      <c r="AI249" s="1"/>
      <c r="AJ249" s="1"/>
      <c r="AK249" s="1"/>
      <c r="AL249" s="1"/>
      <c r="AM249" s="1"/>
      <c r="AN249" s="1"/>
      <c r="AO249" s="1"/>
      <c r="AP249" s="1" t="s">
        <v>3</v>
      </c>
      <c r="AQ249" s="1" t="s">
        <v>3</v>
      </c>
      <c r="AR249" s="1" t="s">
        <v>3</v>
      </c>
      <c r="AS249" s="1"/>
      <c r="AT249" s="1"/>
      <c r="AU249" s="1"/>
      <c r="AV249" s="1"/>
      <c r="AW249" s="1"/>
      <c r="AX249" s="1"/>
      <c r="AY249" s="1"/>
      <c r="AZ249" s="1" t="s">
        <v>3</v>
      </c>
      <c r="BA249" s="1"/>
      <c r="BB249" s="1" t="s">
        <v>3</v>
      </c>
      <c r="BC249" s="1" t="s">
        <v>3</v>
      </c>
      <c r="BD249" s="1" t="s">
        <v>11</v>
      </c>
      <c r="BE249" s="1" t="s">
        <v>11</v>
      </c>
      <c r="BF249" s="1" t="s">
        <v>12</v>
      </c>
      <c r="BG249" s="1" t="s">
        <v>3</v>
      </c>
      <c r="BH249" s="1" t="s">
        <v>12</v>
      </c>
      <c r="BI249" s="1" t="s">
        <v>11</v>
      </c>
      <c r="BJ249" s="1" t="s">
        <v>3</v>
      </c>
      <c r="BK249" s="1" t="s">
        <v>3</v>
      </c>
      <c r="BL249" s="1" t="s">
        <v>3</v>
      </c>
      <c r="BM249" s="1" t="s">
        <v>3</v>
      </c>
      <c r="BN249" s="1" t="s">
        <v>11</v>
      </c>
      <c r="BO249" s="1" t="s">
        <v>3</v>
      </c>
      <c r="BP249" s="1" t="s">
        <v>3</v>
      </c>
      <c r="BQ249" s="1"/>
      <c r="BR249" s="1"/>
      <c r="BS249" s="1"/>
      <c r="BT249" s="1"/>
      <c r="BU249" s="1"/>
      <c r="BV249" s="1"/>
      <c r="BW249" s="1"/>
      <c r="BX249" s="1">
        <v>0</v>
      </c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>
        <v>0</v>
      </c>
    </row>
    <row r="251" spans="1:245" x14ac:dyDescent="0.2">
      <c r="A251" s="2">
        <v>52</v>
      </c>
      <c r="B251" s="2">
        <f t="shared" ref="B251:G251" si="206">B263</f>
        <v>1</v>
      </c>
      <c r="C251" s="2">
        <f t="shared" si="206"/>
        <v>5</v>
      </c>
      <c r="D251" s="2">
        <f t="shared" si="206"/>
        <v>249</v>
      </c>
      <c r="E251" s="2">
        <f t="shared" si="206"/>
        <v>0</v>
      </c>
      <c r="F251" s="2" t="str">
        <f t="shared" si="206"/>
        <v>Новый подраздел</v>
      </c>
      <c r="G251" s="2" t="str">
        <f t="shared" si="206"/>
        <v>Устройство тротуаров и пешеходных дорожек из брусчатки</v>
      </c>
      <c r="H251" s="2"/>
      <c r="I251" s="2"/>
      <c r="J251" s="2"/>
      <c r="K251" s="2"/>
      <c r="L251" s="2"/>
      <c r="M251" s="2"/>
      <c r="N251" s="2"/>
      <c r="O251" s="2">
        <f t="shared" ref="O251:AT251" si="207">O263</f>
        <v>51210</v>
      </c>
      <c r="P251" s="2">
        <f t="shared" si="207"/>
        <v>45075</v>
      </c>
      <c r="Q251" s="2">
        <f t="shared" si="207"/>
        <v>4714</v>
      </c>
      <c r="R251" s="2">
        <f t="shared" si="207"/>
        <v>265</v>
      </c>
      <c r="S251" s="2">
        <f t="shared" si="207"/>
        <v>1421</v>
      </c>
      <c r="T251" s="2">
        <f t="shared" si="207"/>
        <v>0</v>
      </c>
      <c r="U251" s="2">
        <f t="shared" si="207"/>
        <v>214.29893729999998</v>
      </c>
      <c r="V251" s="2">
        <f t="shared" si="207"/>
        <v>20.290108750000002</v>
      </c>
      <c r="W251" s="2">
        <f t="shared" si="207"/>
        <v>0</v>
      </c>
      <c r="X251" s="2">
        <f t="shared" si="207"/>
        <v>2394</v>
      </c>
      <c r="Y251" s="2">
        <f t="shared" si="207"/>
        <v>1365</v>
      </c>
      <c r="Z251" s="2">
        <f t="shared" si="207"/>
        <v>0</v>
      </c>
      <c r="AA251" s="2">
        <f t="shared" si="207"/>
        <v>0</v>
      </c>
      <c r="AB251" s="2">
        <f t="shared" si="207"/>
        <v>51210</v>
      </c>
      <c r="AC251" s="2">
        <f t="shared" si="207"/>
        <v>45075</v>
      </c>
      <c r="AD251" s="2">
        <f t="shared" si="207"/>
        <v>4714</v>
      </c>
      <c r="AE251" s="2">
        <f t="shared" si="207"/>
        <v>265</v>
      </c>
      <c r="AF251" s="2">
        <f t="shared" si="207"/>
        <v>1421</v>
      </c>
      <c r="AG251" s="2">
        <f t="shared" si="207"/>
        <v>0</v>
      </c>
      <c r="AH251" s="2">
        <f t="shared" si="207"/>
        <v>214.29893729999998</v>
      </c>
      <c r="AI251" s="2">
        <f t="shared" si="207"/>
        <v>20.290108750000002</v>
      </c>
      <c r="AJ251" s="2">
        <f t="shared" si="207"/>
        <v>0</v>
      </c>
      <c r="AK251" s="2">
        <f t="shared" si="207"/>
        <v>2394</v>
      </c>
      <c r="AL251" s="2">
        <f t="shared" si="207"/>
        <v>1365</v>
      </c>
      <c r="AM251" s="2">
        <f t="shared" si="207"/>
        <v>0</v>
      </c>
      <c r="AN251" s="2">
        <f t="shared" si="207"/>
        <v>0</v>
      </c>
      <c r="AO251" s="2">
        <f t="shared" si="207"/>
        <v>0</v>
      </c>
      <c r="AP251" s="2">
        <f t="shared" si="207"/>
        <v>0</v>
      </c>
      <c r="AQ251" s="2">
        <f t="shared" si="207"/>
        <v>0</v>
      </c>
      <c r="AR251" s="2">
        <f t="shared" si="207"/>
        <v>54969</v>
      </c>
      <c r="AS251" s="2">
        <f t="shared" si="207"/>
        <v>54969</v>
      </c>
      <c r="AT251" s="2">
        <f t="shared" si="207"/>
        <v>0</v>
      </c>
      <c r="AU251" s="2">
        <f t="shared" ref="AU251:BZ251" si="208">AU263</f>
        <v>0</v>
      </c>
      <c r="AV251" s="2">
        <f t="shared" si="208"/>
        <v>45075</v>
      </c>
      <c r="AW251" s="2">
        <f t="shared" si="208"/>
        <v>45075</v>
      </c>
      <c r="AX251" s="2">
        <f t="shared" si="208"/>
        <v>0</v>
      </c>
      <c r="AY251" s="2">
        <f t="shared" si="208"/>
        <v>45075</v>
      </c>
      <c r="AZ251" s="2">
        <f t="shared" si="208"/>
        <v>0</v>
      </c>
      <c r="BA251" s="2">
        <f t="shared" si="208"/>
        <v>0</v>
      </c>
      <c r="BB251" s="2">
        <f t="shared" si="208"/>
        <v>0</v>
      </c>
      <c r="BC251" s="2">
        <f t="shared" si="208"/>
        <v>0</v>
      </c>
      <c r="BD251" s="2">
        <f t="shared" si="208"/>
        <v>0</v>
      </c>
      <c r="BE251" s="2">
        <f t="shared" si="208"/>
        <v>0</v>
      </c>
      <c r="BF251" s="2">
        <f t="shared" si="208"/>
        <v>0</v>
      </c>
      <c r="BG251" s="2">
        <f t="shared" si="208"/>
        <v>0</v>
      </c>
      <c r="BH251" s="2">
        <f t="shared" si="208"/>
        <v>0</v>
      </c>
      <c r="BI251" s="2">
        <f t="shared" si="208"/>
        <v>0</v>
      </c>
      <c r="BJ251" s="2">
        <f t="shared" si="208"/>
        <v>0</v>
      </c>
      <c r="BK251" s="2">
        <f t="shared" si="208"/>
        <v>0</v>
      </c>
      <c r="BL251" s="2">
        <f t="shared" si="208"/>
        <v>0</v>
      </c>
      <c r="BM251" s="2">
        <f t="shared" si="208"/>
        <v>0</v>
      </c>
      <c r="BN251" s="2">
        <f t="shared" si="208"/>
        <v>0</v>
      </c>
      <c r="BO251" s="2">
        <f t="shared" si="208"/>
        <v>0</v>
      </c>
      <c r="BP251" s="2">
        <f t="shared" si="208"/>
        <v>0</v>
      </c>
      <c r="BQ251" s="2">
        <f t="shared" si="208"/>
        <v>0</v>
      </c>
      <c r="BR251" s="2">
        <f t="shared" si="208"/>
        <v>0</v>
      </c>
      <c r="BS251" s="2">
        <f t="shared" si="208"/>
        <v>0</v>
      </c>
      <c r="BT251" s="2">
        <f t="shared" si="208"/>
        <v>0</v>
      </c>
      <c r="BU251" s="2">
        <f t="shared" si="208"/>
        <v>0</v>
      </c>
      <c r="BV251" s="2">
        <f t="shared" si="208"/>
        <v>0</v>
      </c>
      <c r="BW251" s="2">
        <f t="shared" si="208"/>
        <v>0</v>
      </c>
      <c r="BX251" s="2">
        <f t="shared" si="208"/>
        <v>0</v>
      </c>
      <c r="BY251" s="2">
        <f t="shared" si="208"/>
        <v>0</v>
      </c>
      <c r="BZ251" s="2">
        <f t="shared" si="208"/>
        <v>0</v>
      </c>
      <c r="CA251" s="2">
        <f t="shared" ref="CA251:DF251" si="209">CA263</f>
        <v>54969</v>
      </c>
      <c r="CB251" s="2">
        <f t="shared" si="209"/>
        <v>54969</v>
      </c>
      <c r="CC251" s="2">
        <f t="shared" si="209"/>
        <v>0</v>
      </c>
      <c r="CD251" s="2">
        <f t="shared" si="209"/>
        <v>0</v>
      </c>
      <c r="CE251" s="2">
        <f t="shared" si="209"/>
        <v>45075</v>
      </c>
      <c r="CF251" s="2">
        <f t="shared" si="209"/>
        <v>45075</v>
      </c>
      <c r="CG251" s="2">
        <f t="shared" si="209"/>
        <v>0</v>
      </c>
      <c r="CH251" s="2">
        <f t="shared" si="209"/>
        <v>45075</v>
      </c>
      <c r="CI251" s="2">
        <f t="shared" si="209"/>
        <v>0</v>
      </c>
      <c r="CJ251" s="2">
        <f t="shared" si="209"/>
        <v>0</v>
      </c>
      <c r="CK251" s="2">
        <f t="shared" si="209"/>
        <v>0</v>
      </c>
      <c r="CL251" s="2">
        <f t="shared" si="209"/>
        <v>0</v>
      </c>
      <c r="CM251" s="2">
        <f t="shared" si="209"/>
        <v>0</v>
      </c>
      <c r="CN251" s="2">
        <f t="shared" si="209"/>
        <v>0</v>
      </c>
      <c r="CO251" s="2">
        <f t="shared" si="209"/>
        <v>0</v>
      </c>
      <c r="CP251" s="2">
        <f t="shared" si="209"/>
        <v>0</v>
      </c>
      <c r="CQ251" s="2">
        <f t="shared" si="209"/>
        <v>0</v>
      </c>
      <c r="CR251" s="2">
        <f t="shared" si="209"/>
        <v>0</v>
      </c>
      <c r="CS251" s="2">
        <f t="shared" si="209"/>
        <v>0</v>
      </c>
      <c r="CT251" s="2">
        <f t="shared" si="209"/>
        <v>0</v>
      </c>
      <c r="CU251" s="2">
        <f t="shared" si="209"/>
        <v>0</v>
      </c>
      <c r="CV251" s="2">
        <f t="shared" si="209"/>
        <v>0</v>
      </c>
      <c r="CW251" s="2">
        <f t="shared" si="209"/>
        <v>0</v>
      </c>
      <c r="CX251" s="2">
        <f t="shared" si="209"/>
        <v>0</v>
      </c>
      <c r="CY251" s="2">
        <f t="shared" si="209"/>
        <v>0</v>
      </c>
      <c r="CZ251" s="2">
        <f t="shared" si="209"/>
        <v>0</v>
      </c>
      <c r="DA251" s="2">
        <f t="shared" si="209"/>
        <v>0</v>
      </c>
      <c r="DB251" s="2">
        <f t="shared" si="209"/>
        <v>0</v>
      </c>
      <c r="DC251" s="2">
        <f t="shared" si="209"/>
        <v>0</v>
      </c>
      <c r="DD251" s="2">
        <f t="shared" si="209"/>
        <v>0</v>
      </c>
      <c r="DE251" s="2">
        <f t="shared" si="209"/>
        <v>0</v>
      </c>
      <c r="DF251" s="2">
        <f t="shared" si="209"/>
        <v>0</v>
      </c>
      <c r="DG251" s="3">
        <f t="shared" ref="DG251:EL251" si="210">DG263</f>
        <v>0</v>
      </c>
      <c r="DH251" s="3">
        <f t="shared" si="210"/>
        <v>0</v>
      </c>
      <c r="DI251" s="3">
        <f t="shared" si="210"/>
        <v>0</v>
      </c>
      <c r="DJ251" s="3">
        <f t="shared" si="210"/>
        <v>0</v>
      </c>
      <c r="DK251" s="3">
        <f t="shared" si="210"/>
        <v>0</v>
      </c>
      <c r="DL251" s="3">
        <f t="shared" si="210"/>
        <v>0</v>
      </c>
      <c r="DM251" s="3">
        <f t="shared" si="210"/>
        <v>0</v>
      </c>
      <c r="DN251" s="3">
        <f t="shared" si="210"/>
        <v>0</v>
      </c>
      <c r="DO251" s="3">
        <f t="shared" si="210"/>
        <v>0</v>
      </c>
      <c r="DP251" s="3">
        <f t="shared" si="210"/>
        <v>0</v>
      </c>
      <c r="DQ251" s="3">
        <f t="shared" si="210"/>
        <v>0</v>
      </c>
      <c r="DR251" s="3">
        <f t="shared" si="210"/>
        <v>0</v>
      </c>
      <c r="DS251" s="3">
        <f t="shared" si="210"/>
        <v>0</v>
      </c>
      <c r="DT251" s="3">
        <f t="shared" si="210"/>
        <v>0</v>
      </c>
      <c r="DU251" s="3">
        <f t="shared" si="210"/>
        <v>0</v>
      </c>
      <c r="DV251" s="3">
        <f t="shared" si="210"/>
        <v>0</v>
      </c>
      <c r="DW251" s="3">
        <f t="shared" si="210"/>
        <v>0</v>
      </c>
      <c r="DX251" s="3">
        <f t="shared" si="210"/>
        <v>0</v>
      </c>
      <c r="DY251" s="3">
        <f t="shared" si="210"/>
        <v>0</v>
      </c>
      <c r="DZ251" s="3">
        <f t="shared" si="210"/>
        <v>0</v>
      </c>
      <c r="EA251" s="3">
        <f t="shared" si="210"/>
        <v>0</v>
      </c>
      <c r="EB251" s="3">
        <f t="shared" si="210"/>
        <v>0</v>
      </c>
      <c r="EC251" s="3">
        <f t="shared" si="210"/>
        <v>0</v>
      </c>
      <c r="ED251" s="3">
        <f t="shared" si="210"/>
        <v>0</v>
      </c>
      <c r="EE251" s="3">
        <f t="shared" si="210"/>
        <v>0</v>
      </c>
      <c r="EF251" s="3">
        <f t="shared" si="210"/>
        <v>0</v>
      </c>
      <c r="EG251" s="3">
        <f t="shared" si="210"/>
        <v>0</v>
      </c>
      <c r="EH251" s="3">
        <f t="shared" si="210"/>
        <v>0</v>
      </c>
      <c r="EI251" s="3">
        <f t="shared" si="210"/>
        <v>0</v>
      </c>
      <c r="EJ251" s="3">
        <f t="shared" si="210"/>
        <v>0</v>
      </c>
      <c r="EK251" s="3">
        <f t="shared" si="210"/>
        <v>0</v>
      </c>
      <c r="EL251" s="3">
        <f t="shared" si="210"/>
        <v>0</v>
      </c>
      <c r="EM251" s="3">
        <f t="shared" ref="EM251:FR251" si="211">EM263</f>
        <v>0</v>
      </c>
      <c r="EN251" s="3">
        <f t="shared" si="211"/>
        <v>0</v>
      </c>
      <c r="EO251" s="3">
        <f t="shared" si="211"/>
        <v>0</v>
      </c>
      <c r="EP251" s="3">
        <f t="shared" si="211"/>
        <v>0</v>
      </c>
      <c r="EQ251" s="3">
        <f t="shared" si="211"/>
        <v>0</v>
      </c>
      <c r="ER251" s="3">
        <f t="shared" si="211"/>
        <v>0</v>
      </c>
      <c r="ES251" s="3">
        <f t="shared" si="211"/>
        <v>0</v>
      </c>
      <c r="ET251" s="3">
        <f t="shared" si="211"/>
        <v>0</v>
      </c>
      <c r="EU251" s="3">
        <f t="shared" si="211"/>
        <v>0</v>
      </c>
      <c r="EV251" s="3">
        <f t="shared" si="211"/>
        <v>0</v>
      </c>
      <c r="EW251" s="3">
        <f t="shared" si="211"/>
        <v>0</v>
      </c>
      <c r="EX251" s="3">
        <f t="shared" si="211"/>
        <v>0</v>
      </c>
      <c r="EY251" s="3">
        <f t="shared" si="211"/>
        <v>0</v>
      </c>
      <c r="EZ251" s="3">
        <f t="shared" si="211"/>
        <v>0</v>
      </c>
      <c r="FA251" s="3">
        <f t="shared" si="211"/>
        <v>0</v>
      </c>
      <c r="FB251" s="3">
        <f t="shared" si="211"/>
        <v>0</v>
      </c>
      <c r="FC251" s="3">
        <f t="shared" si="211"/>
        <v>0</v>
      </c>
      <c r="FD251" s="3">
        <f t="shared" si="211"/>
        <v>0</v>
      </c>
      <c r="FE251" s="3">
        <f t="shared" si="211"/>
        <v>0</v>
      </c>
      <c r="FF251" s="3">
        <f t="shared" si="211"/>
        <v>0</v>
      </c>
      <c r="FG251" s="3">
        <f t="shared" si="211"/>
        <v>0</v>
      </c>
      <c r="FH251" s="3">
        <f t="shared" si="211"/>
        <v>0</v>
      </c>
      <c r="FI251" s="3">
        <f t="shared" si="211"/>
        <v>0</v>
      </c>
      <c r="FJ251" s="3">
        <f t="shared" si="211"/>
        <v>0</v>
      </c>
      <c r="FK251" s="3">
        <f t="shared" si="211"/>
        <v>0</v>
      </c>
      <c r="FL251" s="3">
        <f t="shared" si="211"/>
        <v>0</v>
      </c>
      <c r="FM251" s="3">
        <f t="shared" si="211"/>
        <v>0</v>
      </c>
      <c r="FN251" s="3">
        <f t="shared" si="211"/>
        <v>0</v>
      </c>
      <c r="FO251" s="3">
        <f t="shared" si="211"/>
        <v>0</v>
      </c>
      <c r="FP251" s="3">
        <f t="shared" si="211"/>
        <v>0</v>
      </c>
      <c r="FQ251" s="3">
        <f t="shared" si="211"/>
        <v>0</v>
      </c>
      <c r="FR251" s="3">
        <f t="shared" si="211"/>
        <v>0</v>
      </c>
      <c r="FS251" s="3">
        <f t="shared" ref="FS251:GX251" si="212">FS263</f>
        <v>0</v>
      </c>
      <c r="FT251" s="3">
        <f t="shared" si="212"/>
        <v>0</v>
      </c>
      <c r="FU251" s="3">
        <f t="shared" si="212"/>
        <v>0</v>
      </c>
      <c r="FV251" s="3">
        <f t="shared" si="212"/>
        <v>0</v>
      </c>
      <c r="FW251" s="3">
        <f t="shared" si="212"/>
        <v>0</v>
      </c>
      <c r="FX251" s="3">
        <f t="shared" si="212"/>
        <v>0</v>
      </c>
      <c r="FY251" s="3">
        <f t="shared" si="212"/>
        <v>0</v>
      </c>
      <c r="FZ251" s="3">
        <f t="shared" si="212"/>
        <v>0</v>
      </c>
      <c r="GA251" s="3">
        <f t="shared" si="212"/>
        <v>0</v>
      </c>
      <c r="GB251" s="3">
        <f t="shared" si="212"/>
        <v>0</v>
      </c>
      <c r="GC251" s="3">
        <f t="shared" si="212"/>
        <v>0</v>
      </c>
      <c r="GD251" s="3">
        <f t="shared" si="212"/>
        <v>0</v>
      </c>
      <c r="GE251" s="3">
        <f t="shared" si="212"/>
        <v>0</v>
      </c>
      <c r="GF251" s="3">
        <f t="shared" si="212"/>
        <v>0</v>
      </c>
      <c r="GG251" s="3">
        <f t="shared" si="212"/>
        <v>0</v>
      </c>
      <c r="GH251" s="3">
        <f t="shared" si="212"/>
        <v>0</v>
      </c>
      <c r="GI251" s="3">
        <f t="shared" si="212"/>
        <v>0</v>
      </c>
      <c r="GJ251" s="3">
        <f t="shared" si="212"/>
        <v>0</v>
      </c>
      <c r="GK251" s="3">
        <f t="shared" si="212"/>
        <v>0</v>
      </c>
      <c r="GL251" s="3">
        <f t="shared" si="212"/>
        <v>0</v>
      </c>
      <c r="GM251" s="3">
        <f t="shared" si="212"/>
        <v>0</v>
      </c>
      <c r="GN251" s="3">
        <f t="shared" si="212"/>
        <v>0</v>
      </c>
      <c r="GO251" s="3">
        <f t="shared" si="212"/>
        <v>0</v>
      </c>
      <c r="GP251" s="3">
        <f t="shared" si="212"/>
        <v>0</v>
      </c>
      <c r="GQ251" s="3">
        <f t="shared" si="212"/>
        <v>0</v>
      </c>
      <c r="GR251" s="3">
        <f t="shared" si="212"/>
        <v>0</v>
      </c>
      <c r="GS251" s="3">
        <f t="shared" si="212"/>
        <v>0</v>
      </c>
      <c r="GT251" s="3">
        <f t="shared" si="212"/>
        <v>0</v>
      </c>
      <c r="GU251" s="3">
        <f t="shared" si="212"/>
        <v>0</v>
      </c>
      <c r="GV251" s="3">
        <f t="shared" si="212"/>
        <v>0</v>
      </c>
      <c r="GW251" s="3">
        <f t="shared" si="212"/>
        <v>0</v>
      </c>
      <c r="GX251" s="3">
        <f t="shared" si="212"/>
        <v>0</v>
      </c>
    </row>
    <row r="253" spans="1:245" x14ac:dyDescent="0.2">
      <c r="A253">
        <v>17</v>
      </c>
      <c r="B253">
        <v>1</v>
      </c>
      <c r="C253">
        <f>ROW(SmtRes!A140)</f>
        <v>140</v>
      </c>
      <c r="D253">
        <f>ROW(EtalonRes!A137)</f>
        <v>137</v>
      </c>
      <c r="E253" t="s">
        <v>254</v>
      </c>
      <c r="F253" t="s">
        <v>156</v>
      </c>
      <c r="G253" t="s">
        <v>157</v>
      </c>
      <c r="H253" t="s">
        <v>148</v>
      </c>
      <c r="I253">
        <f>ROUND((376.72*0.1)/100,4)</f>
        <v>0.37669999999999998</v>
      </c>
      <c r="J253">
        <v>0</v>
      </c>
      <c r="O253">
        <f t="shared" ref="O253:O261" si="213">ROUND(CP253,0)</f>
        <v>1646</v>
      </c>
      <c r="P253">
        <f t="shared" ref="P253:P261" si="214">ROUND(CQ253*I253,0)</f>
        <v>6</v>
      </c>
      <c r="Q253">
        <f t="shared" ref="Q253:Q261" si="215">ROUND(CR253*I253,0)</f>
        <v>1571</v>
      </c>
      <c r="R253">
        <f t="shared" ref="R253:R261" si="216">ROUND(CS253*I253,0)</f>
        <v>129</v>
      </c>
      <c r="S253">
        <f t="shared" ref="S253:S261" si="217">ROUND(CT253*I253,0)</f>
        <v>69</v>
      </c>
      <c r="T253">
        <f t="shared" ref="T253:T261" si="218">ROUND(CU253*I253,0)</f>
        <v>0</v>
      </c>
      <c r="U253">
        <f t="shared" ref="U253:U261" si="219">CV253*I253</f>
        <v>10.47922895</v>
      </c>
      <c r="V253">
        <f t="shared" ref="V253:V261" si="220">CW253*I253</f>
        <v>9.7000250000000001</v>
      </c>
      <c r="W253">
        <f t="shared" ref="W253:W261" si="221">ROUND(CX253*I253,0)</f>
        <v>0</v>
      </c>
      <c r="X253">
        <f t="shared" ref="X253:X261" si="222">ROUND(CY253,0)</f>
        <v>281</v>
      </c>
      <c r="Y253">
        <f t="shared" ref="Y253:Y261" si="223">ROUND(CZ253,0)</f>
        <v>160</v>
      </c>
      <c r="AA253">
        <v>50210945</v>
      </c>
      <c r="AB253">
        <f t="shared" ref="AB253:AB261" si="224">ROUND((AC253+AD253+AF253),1)</f>
        <v>4369.3999999999996</v>
      </c>
      <c r="AC253">
        <f t="shared" ref="AC253:AC261" si="225">ROUND((ES253),1)</f>
        <v>15.8</v>
      </c>
      <c r="AD253">
        <f>ROUND(((((ET253*1.25))-((EU253*1.25)))+AE253),1)</f>
        <v>4170.6000000000004</v>
      </c>
      <c r="AE253">
        <f>ROUND(((EU253*1.25)),1)</f>
        <v>342</v>
      </c>
      <c r="AF253">
        <f>ROUND(((EV253*1.15)),1)</f>
        <v>183</v>
      </c>
      <c r="AG253">
        <f t="shared" ref="AG253:AG261" si="226">ROUND((AP253),1)</f>
        <v>0</v>
      </c>
      <c r="AH253">
        <f>((EW253*1.15))</f>
        <v>27.8185</v>
      </c>
      <c r="AI253">
        <f>((EX253*1.25))</f>
        <v>25.75</v>
      </c>
      <c r="AJ253">
        <f t="shared" ref="AJ253:AJ261" si="227">(AS253)</f>
        <v>0</v>
      </c>
      <c r="AK253">
        <v>3511.43</v>
      </c>
      <c r="AL253">
        <v>15.82</v>
      </c>
      <c r="AM253">
        <v>3336.44</v>
      </c>
      <c r="AN253">
        <v>273.57</v>
      </c>
      <c r="AO253">
        <v>159.16999999999999</v>
      </c>
      <c r="AP253">
        <v>0</v>
      </c>
      <c r="AQ253">
        <v>24.19</v>
      </c>
      <c r="AR253">
        <v>20.6</v>
      </c>
      <c r="AS253">
        <v>0</v>
      </c>
      <c r="AT253">
        <v>142</v>
      </c>
      <c r="AU253">
        <v>81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3</v>
      </c>
      <c r="BE253" t="s">
        <v>3</v>
      </c>
      <c r="BF253" t="s">
        <v>3</v>
      </c>
      <c r="BG253" t="s">
        <v>3</v>
      </c>
      <c r="BH253">
        <v>0</v>
      </c>
      <c r="BI253">
        <v>1</v>
      </c>
      <c r="BJ253" t="s">
        <v>158</v>
      </c>
      <c r="BM253">
        <v>27001</v>
      </c>
      <c r="BN253">
        <v>0</v>
      </c>
      <c r="BO253" t="s">
        <v>3</v>
      </c>
      <c r="BP253">
        <v>0</v>
      </c>
      <c r="BQ253">
        <v>2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142</v>
      </c>
      <c r="CA253">
        <v>95</v>
      </c>
      <c r="CE253">
        <v>0</v>
      </c>
      <c r="CF253">
        <v>0</v>
      </c>
      <c r="CG253">
        <v>0</v>
      </c>
      <c r="CM253">
        <v>0</v>
      </c>
      <c r="CN253" t="s">
        <v>3</v>
      </c>
      <c r="CO253">
        <v>0</v>
      </c>
      <c r="CP253">
        <f t="shared" ref="CP253:CP261" si="228">(P253+Q253+S253)</f>
        <v>1646</v>
      </c>
      <c r="CQ253">
        <f t="shared" ref="CQ253:CQ261" si="229">AC253*BC253</f>
        <v>15.8</v>
      </c>
      <c r="CR253">
        <f t="shared" ref="CR253:CR261" si="230">AD253*BB253</f>
        <v>4170.6000000000004</v>
      </c>
      <c r="CS253">
        <f t="shared" ref="CS253:CS261" si="231">AE253*BS253</f>
        <v>342</v>
      </c>
      <c r="CT253">
        <f t="shared" ref="CT253:CT261" si="232">AF253*BA253</f>
        <v>183</v>
      </c>
      <c r="CU253">
        <f t="shared" ref="CU253:CU261" si="233">AG253</f>
        <v>0</v>
      </c>
      <c r="CV253">
        <f t="shared" ref="CV253:CV261" si="234">AH253</f>
        <v>27.8185</v>
      </c>
      <c r="CW253">
        <f t="shared" ref="CW253:CW261" si="235">AI253</f>
        <v>25.75</v>
      </c>
      <c r="CX253">
        <f t="shared" ref="CX253:CX261" si="236">AJ253</f>
        <v>0</v>
      </c>
      <c r="CY253">
        <f t="shared" ref="CY253:CY261" si="237">(((S253+R253)*AT253)/100)</f>
        <v>281.16000000000003</v>
      </c>
      <c r="CZ253">
        <f t="shared" ref="CZ253:CZ261" si="238">(((S253+R253)*AU253)/100)</f>
        <v>160.38</v>
      </c>
      <c r="DC253" t="s">
        <v>3</v>
      </c>
      <c r="DD253" t="s">
        <v>3</v>
      </c>
      <c r="DE253" t="s">
        <v>11</v>
      </c>
      <c r="DF253" t="s">
        <v>11</v>
      </c>
      <c r="DG253" t="s">
        <v>12</v>
      </c>
      <c r="DH253" t="s">
        <v>3</v>
      </c>
      <c r="DI253" t="s">
        <v>12</v>
      </c>
      <c r="DJ253" t="s">
        <v>11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1013</v>
      </c>
      <c r="DV253" t="s">
        <v>148</v>
      </c>
      <c r="DW253" t="s">
        <v>148</v>
      </c>
      <c r="DX253">
        <v>1</v>
      </c>
      <c r="EE253">
        <v>48752256</v>
      </c>
      <c r="EF253">
        <v>2</v>
      </c>
      <c r="EG253" t="s">
        <v>30</v>
      </c>
      <c r="EH253">
        <v>0</v>
      </c>
      <c r="EI253" t="s">
        <v>3</v>
      </c>
      <c r="EJ253">
        <v>1</v>
      </c>
      <c r="EK253">
        <v>27001</v>
      </c>
      <c r="EL253" t="s">
        <v>73</v>
      </c>
      <c r="EM253" t="s">
        <v>74</v>
      </c>
      <c r="EO253" t="s">
        <v>3</v>
      </c>
      <c r="EQ253">
        <v>131072</v>
      </c>
      <c r="ER253">
        <v>3511.43</v>
      </c>
      <c r="ES253">
        <v>15.82</v>
      </c>
      <c r="ET253">
        <v>3336.44</v>
      </c>
      <c r="EU253">
        <v>273.57</v>
      </c>
      <c r="EV253">
        <v>159.16999999999999</v>
      </c>
      <c r="EW253">
        <v>24.19</v>
      </c>
      <c r="EX253">
        <v>20.6</v>
      </c>
      <c r="EY253">
        <v>0</v>
      </c>
      <c r="FQ253">
        <v>0</v>
      </c>
      <c r="FR253">
        <f t="shared" ref="FR253:FR261" si="239">ROUND(IF(AND(BH253=3,BI253=3),P253,0),0)</f>
        <v>0</v>
      </c>
      <c r="FS253">
        <v>0</v>
      </c>
      <c r="FU253" t="s">
        <v>33</v>
      </c>
      <c r="FX253">
        <v>142</v>
      </c>
      <c r="FY253">
        <v>80.75</v>
      </c>
      <c r="GA253" t="s">
        <v>3</v>
      </c>
      <c r="GD253">
        <v>1</v>
      </c>
      <c r="GF253">
        <v>-2049045877</v>
      </c>
      <c r="GG253">
        <v>2</v>
      </c>
      <c r="GH253">
        <v>0</v>
      </c>
      <c r="GI253">
        <v>0</v>
      </c>
      <c r="GJ253">
        <v>0</v>
      </c>
      <c r="GK253">
        <v>0</v>
      </c>
      <c r="GL253">
        <f t="shared" ref="GL253:GL261" si="240">ROUND(IF(AND(BH253=3,BI253=3,FS253&lt;&gt;0),P253,0),0)</f>
        <v>0</v>
      </c>
      <c r="GM253">
        <f t="shared" ref="GM253:GM261" si="241">ROUND(O253+X253+Y253,0)+GX253</f>
        <v>2087</v>
      </c>
      <c r="GN253">
        <f t="shared" ref="GN253:GN261" si="242">IF(OR(BI253=0,BI253=1),ROUND(O253+X253+Y253,0),0)</f>
        <v>2087</v>
      </c>
      <c r="GO253">
        <f t="shared" ref="GO253:GO261" si="243">IF(BI253=2,ROUND(O253+X253+Y253,0),0)</f>
        <v>0</v>
      </c>
      <c r="GP253">
        <f t="shared" ref="GP253:GP261" si="244">IF(BI253=4,ROUND(O253+X253+Y253,0)+GX253,0)</f>
        <v>0</v>
      </c>
      <c r="GR253">
        <v>0</v>
      </c>
      <c r="GS253">
        <v>0</v>
      </c>
      <c r="GT253">
        <v>0</v>
      </c>
      <c r="GU253" t="s">
        <v>3</v>
      </c>
      <c r="GV253">
        <f t="shared" ref="GV253:GV261" si="245">ROUND((GT253),1)</f>
        <v>0</v>
      </c>
      <c r="GW253">
        <v>1</v>
      </c>
      <c r="GX253">
        <f t="shared" ref="GX253:GX261" si="246">ROUND(HC253*I253,0)</f>
        <v>0</v>
      </c>
      <c r="HA253">
        <v>0</v>
      </c>
      <c r="HB253">
        <v>0</v>
      </c>
      <c r="HC253">
        <f t="shared" ref="HC253:HC261" si="247">GV253*GW253</f>
        <v>0</v>
      </c>
      <c r="IK253">
        <v>0</v>
      </c>
    </row>
    <row r="254" spans="1:245" x14ac:dyDescent="0.2">
      <c r="A254">
        <v>18</v>
      </c>
      <c r="B254">
        <v>1</v>
      </c>
      <c r="C254">
        <v>139</v>
      </c>
      <c r="E254" t="s">
        <v>255</v>
      </c>
      <c r="F254" t="s">
        <v>160</v>
      </c>
      <c r="G254" t="s">
        <v>161</v>
      </c>
      <c r="H254" t="s">
        <v>153</v>
      </c>
      <c r="I254">
        <f>I253*J254</f>
        <v>47.464199999999998</v>
      </c>
      <c r="J254">
        <v>126</v>
      </c>
      <c r="O254">
        <f t="shared" si="213"/>
        <v>6037</v>
      </c>
      <c r="P254">
        <f t="shared" si="214"/>
        <v>6037</v>
      </c>
      <c r="Q254">
        <f t="shared" si="215"/>
        <v>0</v>
      </c>
      <c r="R254">
        <f t="shared" si="216"/>
        <v>0</v>
      </c>
      <c r="S254">
        <f t="shared" si="217"/>
        <v>0</v>
      </c>
      <c r="T254">
        <f t="shared" si="218"/>
        <v>0</v>
      </c>
      <c r="U254">
        <f t="shared" si="219"/>
        <v>0</v>
      </c>
      <c r="V254">
        <f t="shared" si="220"/>
        <v>0</v>
      </c>
      <c r="W254">
        <f t="shared" si="221"/>
        <v>0</v>
      </c>
      <c r="X254">
        <f t="shared" si="222"/>
        <v>0</v>
      </c>
      <c r="Y254">
        <f t="shared" si="223"/>
        <v>0</v>
      </c>
      <c r="AA254">
        <v>50210945</v>
      </c>
      <c r="AB254">
        <f t="shared" si="224"/>
        <v>127.2</v>
      </c>
      <c r="AC254">
        <f t="shared" si="225"/>
        <v>127.2</v>
      </c>
      <c r="AD254">
        <f>ROUND((((ET254)-(EU254))+AE254),1)</f>
        <v>0</v>
      </c>
      <c r="AE254">
        <f>ROUND((EU254),1)</f>
        <v>0</v>
      </c>
      <c r="AF254">
        <f>ROUND((EV254),1)</f>
        <v>0</v>
      </c>
      <c r="AG254">
        <f t="shared" si="226"/>
        <v>0</v>
      </c>
      <c r="AH254">
        <f>(EW254)</f>
        <v>0</v>
      </c>
      <c r="AI254">
        <f>(EX254)</f>
        <v>0</v>
      </c>
      <c r="AJ254">
        <f t="shared" si="227"/>
        <v>0</v>
      </c>
      <c r="AK254">
        <v>127.2</v>
      </c>
      <c r="AL254">
        <v>127.2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142</v>
      </c>
      <c r="AU254">
        <v>81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3</v>
      </c>
      <c r="BE254" t="s">
        <v>3</v>
      </c>
      <c r="BF254" t="s">
        <v>3</v>
      </c>
      <c r="BG254" t="s">
        <v>3</v>
      </c>
      <c r="BH254">
        <v>3</v>
      </c>
      <c r="BI254">
        <v>1</v>
      </c>
      <c r="BJ254" t="s">
        <v>162</v>
      </c>
      <c r="BM254">
        <v>27001</v>
      </c>
      <c r="BN254">
        <v>0</v>
      </c>
      <c r="BO254" t="s">
        <v>3</v>
      </c>
      <c r="BP254">
        <v>0</v>
      </c>
      <c r="BQ254">
        <v>2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3</v>
      </c>
      <c r="BZ254">
        <v>142</v>
      </c>
      <c r="CA254">
        <v>95</v>
      </c>
      <c r="CE254">
        <v>0</v>
      </c>
      <c r="CF254">
        <v>0</v>
      </c>
      <c r="CG254">
        <v>0</v>
      </c>
      <c r="CM254">
        <v>0</v>
      </c>
      <c r="CN254" t="s">
        <v>3</v>
      </c>
      <c r="CO254">
        <v>0</v>
      </c>
      <c r="CP254">
        <f t="shared" si="228"/>
        <v>6037</v>
      </c>
      <c r="CQ254">
        <f t="shared" si="229"/>
        <v>127.2</v>
      </c>
      <c r="CR254">
        <f t="shared" si="230"/>
        <v>0</v>
      </c>
      <c r="CS254">
        <f t="shared" si="231"/>
        <v>0</v>
      </c>
      <c r="CT254">
        <f t="shared" si="232"/>
        <v>0</v>
      </c>
      <c r="CU254">
        <f t="shared" si="233"/>
        <v>0</v>
      </c>
      <c r="CV254">
        <f t="shared" si="234"/>
        <v>0</v>
      </c>
      <c r="CW254">
        <f t="shared" si="235"/>
        <v>0</v>
      </c>
      <c r="CX254">
        <f t="shared" si="236"/>
        <v>0</v>
      </c>
      <c r="CY254">
        <f t="shared" si="237"/>
        <v>0</v>
      </c>
      <c r="CZ254">
        <f t="shared" si="238"/>
        <v>0</v>
      </c>
      <c r="DC254" t="s">
        <v>3</v>
      </c>
      <c r="DD254" t="s">
        <v>3</v>
      </c>
      <c r="DE254" t="s">
        <v>3</v>
      </c>
      <c r="DF254" t="s">
        <v>3</v>
      </c>
      <c r="DG254" t="s">
        <v>3</v>
      </c>
      <c r="DH254" t="s">
        <v>3</v>
      </c>
      <c r="DI254" t="s">
        <v>3</v>
      </c>
      <c r="DJ254" t="s">
        <v>3</v>
      </c>
      <c r="DK254" t="s">
        <v>3</v>
      </c>
      <c r="DL254" t="s">
        <v>3</v>
      </c>
      <c r="DM254" t="s">
        <v>3</v>
      </c>
      <c r="DN254">
        <v>0</v>
      </c>
      <c r="DO254">
        <v>0</v>
      </c>
      <c r="DP254">
        <v>1</v>
      </c>
      <c r="DQ254">
        <v>1</v>
      </c>
      <c r="DU254">
        <v>1007</v>
      </c>
      <c r="DV254" t="s">
        <v>153</v>
      </c>
      <c r="DW254" t="s">
        <v>153</v>
      </c>
      <c r="DX254">
        <v>1</v>
      </c>
      <c r="EE254">
        <v>48752256</v>
      </c>
      <c r="EF254">
        <v>2</v>
      </c>
      <c r="EG254" t="s">
        <v>30</v>
      </c>
      <c r="EH254">
        <v>0</v>
      </c>
      <c r="EI254" t="s">
        <v>3</v>
      </c>
      <c r="EJ254">
        <v>1</v>
      </c>
      <c r="EK254">
        <v>27001</v>
      </c>
      <c r="EL254" t="s">
        <v>73</v>
      </c>
      <c r="EM254" t="s">
        <v>74</v>
      </c>
      <c r="EO254" t="s">
        <v>3</v>
      </c>
      <c r="EQ254">
        <v>0</v>
      </c>
      <c r="ER254">
        <v>127.2</v>
      </c>
      <c r="ES254">
        <v>127.2</v>
      </c>
      <c r="ET254">
        <v>0</v>
      </c>
      <c r="EU254">
        <v>0</v>
      </c>
      <c r="EV254">
        <v>0</v>
      </c>
      <c r="EW254">
        <v>0</v>
      </c>
      <c r="EX254">
        <v>0</v>
      </c>
      <c r="FQ254">
        <v>0</v>
      </c>
      <c r="FR254">
        <f t="shared" si="239"/>
        <v>0</v>
      </c>
      <c r="FS254">
        <v>0</v>
      </c>
      <c r="FU254" t="s">
        <v>33</v>
      </c>
      <c r="FX254">
        <v>142</v>
      </c>
      <c r="FY254">
        <v>80.75</v>
      </c>
      <c r="GA254" t="s">
        <v>3</v>
      </c>
      <c r="GD254">
        <v>1</v>
      </c>
      <c r="GF254">
        <v>1276216311</v>
      </c>
      <c r="GG254">
        <v>2</v>
      </c>
      <c r="GH254">
        <v>0</v>
      </c>
      <c r="GI254">
        <v>0</v>
      </c>
      <c r="GJ254">
        <v>0</v>
      </c>
      <c r="GK254">
        <v>0</v>
      </c>
      <c r="GL254">
        <f t="shared" si="240"/>
        <v>0</v>
      </c>
      <c r="GM254">
        <f t="shared" si="241"/>
        <v>6037</v>
      </c>
      <c r="GN254">
        <f t="shared" si="242"/>
        <v>6037</v>
      </c>
      <c r="GO254">
        <f t="shared" si="243"/>
        <v>0</v>
      </c>
      <c r="GP254">
        <f t="shared" si="244"/>
        <v>0</v>
      </c>
      <c r="GR254">
        <v>0</v>
      </c>
      <c r="GS254">
        <v>0</v>
      </c>
      <c r="GT254">
        <v>0</v>
      </c>
      <c r="GU254" t="s">
        <v>3</v>
      </c>
      <c r="GV254">
        <f t="shared" si="245"/>
        <v>0</v>
      </c>
      <c r="GW254">
        <v>1</v>
      </c>
      <c r="GX254">
        <f t="shared" si="246"/>
        <v>0</v>
      </c>
      <c r="HA254">
        <v>0</v>
      </c>
      <c r="HB254">
        <v>0</v>
      </c>
      <c r="HC254">
        <f t="shared" si="247"/>
        <v>0</v>
      </c>
      <c r="IK254">
        <v>0</v>
      </c>
    </row>
    <row r="255" spans="1:245" x14ac:dyDescent="0.2">
      <c r="A255">
        <v>17</v>
      </c>
      <c r="B255">
        <v>1</v>
      </c>
      <c r="C255">
        <f>ROW(SmtRes!A148)</f>
        <v>148</v>
      </c>
      <c r="D255">
        <f>ROW(EtalonRes!A145)</f>
        <v>145</v>
      </c>
      <c r="E255" t="s">
        <v>256</v>
      </c>
      <c r="F255" t="s">
        <v>146</v>
      </c>
      <c r="G255" t="s">
        <v>147</v>
      </c>
      <c r="H255" t="s">
        <v>148</v>
      </c>
      <c r="I255">
        <f>ROUND((376.72*0.1)/100,4)</f>
        <v>0.37669999999999998</v>
      </c>
      <c r="J255">
        <v>0</v>
      </c>
      <c r="O255">
        <f t="shared" si="213"/>
        <v>1056</v>
      </c>
      <c r="P255">
        <f t="shared" si="214"/>
        <v>4</v>
      </c>
      <c r="Q255">
        <f t="shared" si="215"/>
        <v>1008</v>
      </c>
      <c r="R255">
        <f t="shared" si="216"/>
        <v>82</v>
      </c>
      <c r="S255">
        <f t="shared" si="217"/>
        <v>44</v>
      </c>
      <c r="T255">
        <f t="shared" si="218"/>
        <v>0</v>
      </c>
      <c r="U255">
        <f t="shared" si="219"/>
        <v>6.8099825999999997</v>
      </c>
      <c r="V255">
        <f t="shared" si="220"/>
        <v>6.5357450000000004</v>
      </c>
      <c r="W255">
        <f t="shared" si="221"/>
        <v>0</v>
      </c>
      <c r="X255">
        <f t="shared" si="222"/>
        <v>179</v>
      </c>
      <c r="Y255">
        <f t="shared" si="223"/>
        <v>102</v>
      </c>
      <c r="AA255">
        <v>50210945</v>
      </c>
      <c r="AB255">
        <f t="shared" si="224"/>
        <v>2805</v>
      </c>
      <c r="AC255">
        <f t="shared" si="225"/>
        <v>11.3</v>
      </c>
      <c r="AD255">
        <f>ROUND(((((ET255*1.25))-((EU255*1.25)))+AE255),1)</f>
        <v>2675.8</v>
      </c>
      <c r="AE255">
        <f>ROUND(((EU255*1.25)),1)</f>
        <v>217.9</v>
      </c>
      <c r="AF255">
        <f>ROUND(((EV255*1.15)),1)</f>
        <v>117.9</v>
      </c>
      <c r="AG255">
        <f t="shared" si="226"/>
        <v>0</v>
      </c>
      <c r="AH255">
        <f>((EW255*1.15))</f>
        <v>18.077999999999999</v>
      </c>
      <c r="AI255">
        <f>((EX255*1.25))</f>
        <v>17.350000000000001</v>
      </c>
      <c r="AJ255">
        <f t="shared" si="227"/>
        <v>0</v>
      </c>
      <c r="AK255">
        <v>2254.4699999999998</v>
      </c>
      <c r="AL255">
        <v>11.3</v>
      </c>
      <c r="AM255">
        <v>2140.6799999999998</v>
      </c>
      <c r="AN255">
        <v>174.33</v>
      </c>
      <c r="AO255">
        <v>102.49</v>
      </c>
      <c r="AP255">
        <v>0</v>
      </c>
      <c r="AQ255">
        <v>15.72</v>
      </c>
      <c r="AR255">
        <v>13.88</v>
      </c>
      <c r="AS255">
        <v>0</v>
      </c>
      <c r="AT255">
        <v>142</v>
      </c>
      <c r="AU255">
        <v>81</v>
      </c>
      <c r="AV255">
        <v>1</v>
      </c>
      <c r="AW255">
        <v>1</v>
      </c>
      <c r="AZ255">
        <v>1</v>
      </c>
      <c r="BA255">
        <v>1</v>
      </c>
      <c r="BB255">
        <v>1</v>
      </c>
      <c r="BC255">
        <v>1</v>
      </c>
      <c r="BD255" t="s">
        <v>3</v>
      </c>
      <c r="BE255" t="s">
        <v>3</v>
      </c>
      <c r="BF255" t="s">
        <v>3</v>
      </c>
      <c r="BG255" t="s">
        <v>3</v>
      </c>
      <c r="BH255">
        <v>0</v>
      </c>
      <c r="BI255">
        <v>1</v>
      </c>
      <c r="BJ255" t="s">
        <v>149</v>
      </c>
      <c r="BM255">
        <v>27001</v>
      </c>
      <c r="BN255">
        <v>0</v>
      </c>
      <c r="BO255" t="s">
        <v>3</v>
      </c>
      <c r="BP255">
        <v>0</v>
      </c>
      <c r="BQ255">
        <v>2</v>
      </c>
      <c r="BR255">
        <v>0</v>
      </c>
      <c r="BS255">
        <v>1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142</v>
      </c>
      <c r="CA255">
        <v>95</v>
      </c>
      <c r="CE255">
        <v>0</v>
      </c>
      <c r="CF255">
        <v>0</v>
      </c>
      <c r="CG255">
        <v>0</v>
      </c>
      <c r="CM255">
        <v>0</v>
      </c>
      <c r="CN255" t="s">
        <v>3</v>
      </c>
      <c r="CO255">
        <v>0</v>
      </c>
      <c r="CP255">
        <f t="shared" si="228"/>
        <v>1056</v>
      </c>
      <c r="CQ255">
        <f t="shared" si="229"/>
        <v>11.3</v>
      </c>
      <c r="CR255">
        <f t="shared" si="230"/>
        <v>2675.8</v>
      </c>
      <c r="CS255">
        <f t="shared" si="231"/>
        <v>217.9</v>
      </c>
      <c r="CT255">
        <f t="shared" si="232"/>
        <v>117.9</v>
      </c>
      <c r="CU255">
        <f t="shared" si="233"/>
        <v>0</v>
      </c>
      <c r="CV255">
        <f t="shared" si="234"/>
        <v>18.077999999999999</v>
      </c>
      <c r="CW255">
        <f t="shared" si="235"/>
        <v>17.350000000000001</v>
      </c>
      <c r="CX255">
        <f t="shared" si="236"/>
        <v>0</v>
      </c>
      <c r="CY255">
        <f t="shared" si="237"/>
        <v>178.92</v>
      </c>
      <c r="CZ255">
        <f t="shared" si="238"/>
        <v>102.06</v>
      </c>
      <c r="DC255" t="s">
        <v>3</v>
      </c>
      <c r="DD255" t="s">
        <v>3</v>
      </c>
      <c r="DE255" t="s">
        <v>11</v>
      </c>
      <c r="DF255" t="s">
        <v>11</v>
      </c>
      <c r="DG255" t="s">
        <v>12</v>
      </c>
      <c r="DH255" t="s">
        <v>3</v>
      </c>
      <c r="DI255" t="s">
        <v>12</v>
      </c>
      <c r="DJ255" t="s">
        <v>11</v>
      </c>
      <c r="DK255" t="s">
        <v>3</v>
      </c>
      <c r="DL255" t="s">
        <v>3</v>
      </c>
      <c r="DM255" t="s">
        <v>3</v>
      </c>
      <c r="DN255">
        <v>0</v>
      </c>
      <c r="DO255">
        <v>0</v>
      </c>
      <c r="DP255">
        <v>1</v>
      </c>
      <c r="DQ255">
        <v>1</v>
      </c>
      <c r="DU255">
        <v>1013</v>
      </c>
      <c r="DV255" t="s">
        <v>148</v>
      </c>
      <c r="DW255" t="s">
        <v>148</v>
      </c>
      <c r="DX255">
        <v>1</v>
      </c>
      <c r="EE255">
        <v>48752256</v>
      </c>
      <c r="EF255">
        <v>2</v>
      </c>
      <c r="EG255" t="s">
        <v>30</v>
      </c>
      <c r="EH255">
        <v>0</v>
      </c>
      <c r="EI255" t="s">
        <v>3</v>
      </c>
      <c r="EJ255">
        <v>1</v>
      </c>
      <c r="EK255">
        <v>27001</v>
      </c>
      <c r="EL255" t="s">
        <v>73</v>
      </c>
      <c r="EM255" t="s">
        <v>74</v>
      </c>
      <c r="EO255" t="s">
        <v>3</v>
      </c>
      <c r="EQ255">
        <v>131072</v>
      </c>
      <c r="ER255">
        <v>2254.4699999999998</v>
      </c>
      <c r="ES255">
        <v>11.3</v>
      </c>
      <c r="ET255">
        <v>2140.6799999999998</v>
      </c>
      <c r="EU255">
        <v>174.33</v>
      </c>
      <c r="EV255">
        <v>102.49</v>
      </c>
      <c r="EW255">
        <v>15.72</v>
      </c>
      <c r="EX255">
        <v>13.88</v>
      </c>
      <c r="EY255">
        <v>0</v>
      </c>
      <c r="FQ255">
        <v>0</v>
      </c>
      <c r="FR255">
        <f t="shared" si="239"/>
        <v>0</v>
      </c>
      <c r="FS255">
        <v>0</v>
      </c>
      <c r="FU255" t="s">
        <v>33</v>
      </c>
      <c r="FX255">
        <v>142</v>
      </c>
      <c r="FY255">
        <v>80.75</v>
      </c>
      <c r="GA255" t="s">
        <v>3</v>
      </c>
      <c r="GD255">
        <v>1</v>
      </c>
      <c r="GF255">
        <v>2010671087</v>
      </c>
      <c r="GG255">
        <v>2</v>
      </c>
      <c r="GH255">
        <v>0</v>
      </c>
      <c r="GI255">
        <v>0</v>
      </c>
      <c r="GJ255">
        <v>0</v>
      </c>
      <c r="GK255">
        <v>0</v>
      </c>
      <c r="GL255">
        <f t="shared" si="240"/>
        <v>0</v>
      </c>
      <c r="GM255">
        <f t="shared" si="241"/>
        <v>1337</v>
      </c>
      <c r="GN255">
        <f t="shared" si="242"/>
        <v>1337</v>
      </c>
      <c r="GO255">
        <f t="shared" si="243"/>
        <v>0</v>
      </c>
      <c r="GP255">
        <f t="shared" si="244"/>
        <v>0</v>
      </c>
      <c r="GR255">
        <v>0</v>
      </c>
      <c r="GS255">
        <v>0</v>
      </c>
      <c r="GT255">
        <v>0</v>
      </c>
      <c r="GU255" t="s">
        <v>3</v>
      </c>
      <c r="GV255">
        <f t="shared" si="245"/>
        <v>0</v>
      </c>
      <c r="GW255">
        <v>1</v>
      </c>
      <c r="GX255">
        <f t="shared" si="246"/>
        <v>0</v>
      </c>
      <c r="HA255">
        <v>0</v>
      </c>
      <c r="HB255">
        <v>0</v>
      </c>
      <c r="HC255">
        <f t="shared" si="247"/>
        <v>0</v>
      </c>
      <c r="IK255">
        <v>0</v>
      </c>
    </row>
    <row r="256" spans="1:245" x14ac:dyDescent="0.2">
      <c r="A256">
        <v>18</v>
      </c>
      <c r="B256">
        <v>1</v>
      </c>
      <c r="C256">
        <v>147</v>
      </c>
      <c r="E256" t="s">
        <v>257</v>
      </c>
      <c r="F256" t="s">
        <v>151</v>
      </c>
      <c r="G256" t="s">
        <v>152</v>
      </c>
      <c r="H256" t="s">
        <v>153</v>
      </c>
      <c r="I256">
        <f>I255*J256</f>
        <v>41.436999999999998</v>
      </c>
      <c r="J256">
        <v>110</v>
      </c>
      <c r="O256">
        <f t="shared" si="213"/>
        <v>2122</v>
      </c>
      <c r="P256">
        <f t="shared" si="214"/>
        <v>2122</v>
      </c>
      <c r="Q256">
        <f t="shared" si="215"/>
        <v>0</v>
      </c>
      <c r="R256">
        <f t="shared" si="216"/>
        <v>0</v>
      </c>
      <c r="S256">
        <f t="shared" si="217"/>
        <v>0</v>
      </c>
      <c r="T256">
        <f t="shared" si="218"/>
        <v>0</v>
      </c>
      <c r="U256">
        <f t="shared" si="219"/>
        <v>0</v>
      </c>
      <c r="V256">
        <f t="shared" si="220"/>
        <v>0</v>
      </c>
      <c r="W256">
        <f t="shared" si="221"/>
        <v>0</v>
      </c>
      <c r="X256">
        <f t="shared" si="222"/>
        <v>0</v>
      </c>
      <c r="Y256">
        <f t="shared" si="223"/>
        <v>0</v>
      </c>
      <c r="AA256">
        <v>50210945</v>
      </c>
      <c r="AB256">
        <f t="shared" si="224"/>
        <v>51.2</v>
      </c>
      <c r="AC256">
        <f t="shared" si="225"/>
        <v>51.2</v>
      </c>
      <c r="AD256">
        <f>ROUND((((ET256)-(EU256))+AE256),1)</f>
        <v>0</v>
      </c>
      <c r="AE256">
        <f>ROUND((EU256),1)</f>
        <v>0</v>
      </c>
      <c r="AF256">
        <f>ROUND((EV256),1)</f>
        <v>0</v>
      </c>
      <c r="AG256">
        <f t="shared" si="226"/>
        <v>0</v>
      </c>
      <c r="AH256">
        <f>(EW256)</f>
        <v>0</v>
      </c>
      <c r="AI256">
        <f>(EX256)</f>
        <v>0</v>
      </c>
      <c r="AJ256">
        <f t="shared" si="227"/>
        <v>0</v>
      </c>
      <c r="AK256">
        <v>51.17</v>
      </c>
      <c r="AL256">
        <v>51.17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142</v>
      </c>
      <c r="AU256">
        <v>81</v>
      </c>
      <c r="AV256">
        <v>1</v>
      </c>
      <c r="AW256">
        <v>1</v>
      </c>
      <c r="AZ256">
        <v>1</v>
      </c>
      <c r="BA256">
        <v>1</v>
      </c>
      <c r="BB256">
        <v>1</v>
      </c>
      <c r="BC256">
        <v>1</v>
      </c>
      <c r="BD256" t="s">
        <v>3</v>
      </c>
      <c r="BE256" t="s">
        <v>3</v>
      </c>
      <c r="BF256" t="s">
        <v>3</v>
      </c>
      <c r="BG256" t="s">
        <v>3</v>
      </c>
      <c r="BH256">
        <v>3</v>
      </c>
      <c r="BI256">
        <v>1</v>
      </c>
      <c r="BJ256" t="s">
        <v>154</v>
      </c>
      <c r="BM256">
        <v>27001</v>
      </c>
      <c r="BN256">
        <v>0</v>
      </c>
      <c r="BO256" t="s">
        <v>3</v>
      </c>
      <c r="BP256">
        <v>0</v>
      </c>
      <c r="BQ256">
        <v>2</v>
      </c>
      <c r="BR256">
        <v>0</v>
      </c>
      <c r="BS256">
        <v>1</v>
      </c>
      <c r="BT256">
        <v>1</v>
      </c>
      <c r="BU256">
        <v>1</v>
      </c>
      <c r="BV256">
        <v>1</v>
      </c>
      <c r="BW256">
        <v>1</v>
      </c>
      <c r="BX256">
        <v>1</v>
      </c>
      <c r="BY256" t="s">
        <v>3</v>
      </c>
      <c r="BZ256">
        <v>142</v>
      </c>
      <c r="CA256">
        <v>95</v>
      </c>
      <c r="CE256">
        <v>0</v>
      </c>
      <c r="CF256">
        <v>0</v>
      </c>
      <c r="CG256">
        <v>0</v>
      </c>
      <c r="CM256">
        <v>0</v>
      </c>
      <c r="CN256" t="s">
        <v>3</v>
      </c>
      <c r="CO256">
        <v>0</v>
      </c>
      <c r="CP256">
        <f t="shared" si="228"/>
        <v>2122</v>
      </c>
      <c r="CQ256">
        <f t="shared" si="229"/>
        <v>51.2</v>
      </c>
      <c r="CR256">
        <f t="shared" si="230"/>
        <v>0</v>
      </c>
      <c r="CS256">
        <f t="shared" si="231"/>
        <v>0</v>
      </c>
      <c r="CT256">
        <f t="shared" si="232"/>
        <v>0</v>
      </c>
      <c r="CU256">
        <f t="shared" si="233"/>
        <v>0</v>
      </c>
      <c r="CV256">
        <f t="shared" si="234"/>
        <v>0</v>
      </c>
      <c r="CW256">
        <f t="shared" si="235"/>
        <v>0</v>
      </c>
      <c r="CX256">
        <f t="shared" si="236"/>
        <v>0</v>
      </c>
      <c r="CY256">
        <f t="shared" si="237"/>
        <v>0</v>
      </c>
      <c r="CZ256">
        <f t="shared" si="238"/>
        <v>0</v>
      </c>
      <c r="DC256" t="s">
        <v>3</v>
      </c>
      <c r="DD256" t="s">
        <v>3</v>
      </c>
      <c r="DE256" t="s">
        <v>3</v>
      </c>
      <c r="DF256" t="s">
        <v>3</v>
      </c>
      <c r="DG256" t="s">
        <v>3</v>
      </c>
      <c r="DH256" t="s">
        <v>3</v>
      </c>
      <c r="DI256" t="s">
        <v>3</v>
      </c>
      <c r="DJ256" t="s">
        <v>3</v>
      </c>
      <c r="DK256" t="s">
        <v>3</v>
      </c>
      <c r="DL256" t="s">
        <v>3</v>
      </c>
      <c r="DM256" t="s">
        <v>3</v>
      </c>
      <c r="DN256">
        <v>0</v>
      </c>
      <c r="DO256">
        <v>0</v>
      </c>
      <c r="DP256">
        <v>1</v>
      </c>
      <c r="DQ256">
        <v>1</v>
      </c>
      <c r="DU256">
        <v>1007</v>
      </c>
      <c r="DV256" t="s">
        <v>153</v>
      </c>
      <c r="DW256" t="s">
        <v>153</v>
      </c>
      <c r="DX256">
        <v>1</v>
      </c>
      <c r="EE256">
        <v>48752256</v>
      </c>
      <c r="EF256">
        <v>2</v>
      </c>
      <c r="EG256" t="s">
        <v>30</v>
      </c>
      <c r="EH256">
        <v>0</v>
      </c>
      <c r="EI256" t="s">
        <v>3</v>
      </c>
      <c r="EJ256">
        <v>1</v>
      </c>
      <c r="EK256">
        <v>27001</v>
      </c>
      <c r="EL256" t="s">
        <v>73</v>
      </c>
      <c r="EM256" t="s">
        <v>74</v>
      </c>
      <c r="EO256" t="s">
        <v>3</v>
      </c>
      <c r="EQ256">
        <v>0</v>
      </c>
      <c r="ER256">
        <v>51.17</v>
      </c>
      <c r="ES256">
        <v>51.17</v>
      </c>
      <c r="ET256">
        <v>0</v>
      </c>
      <c r="EU256">
        <v>0</v>
      </c>
      <c r="EV256">
        <v>0</v>
      </c>
      <c r="EW256">
        <v>0</v>
      </c>
      <c r="EX256">
        <v>0</v>
      </c>
      <c r="FQ256">
        <v>0</v>
      </c>
      <c r="FR256">
        <f t="shared" si="239"/>
        <v>0</v>
      </c>
      <c r="FS256">
        <v>0</v>
      </c>
      <c r="FU256" t="s">
        <v>33</v>
      </c>
      <c r="FX256">
        <v>142</v>
      </c>
      <c r="FY256">
        <v>80.75</v>
      </c>
      <c r="GA256" t="s">
        <v>3</v>
      </c>
      <c r="GD256">
        <v>1</v>
      </c>
      <c r="GF256">
        <v>-215471597</v>
      </c>
      <c r="GG256">
        <v>2</v>
      </c>
      <c r="GH256">
        <v>0</v>
      </c>
      <c r="GI256">
        <v>0</v>
      </c>
      <c r="GJ256">
        <v>0</v>
      </c>
      <c r="GK256">
        <v>0</v>
      </c>
      <c r="GL256">
        <f t="shared" si="240"/>
        <v>0</v>
      </c>
      <c r="GM256">
        <f t="shared" si="241"/>
        <v>2122</v>
      </c>
      <c r="GN256">
        <f t="shared" si="242"/>
        <v>2122</v>
      </c>
      <c r="GO256">
        <f t="shared" si="243"/>
        <v>0</v>
      </c>
      <c r="GP256">
        <f t="shared" si="244"/>
        <v>0</v>
      </c>
      <c r="GR256">
        <v>0</v>
      </c>
      <c r="GS256">
        <v>0</v>
      </c>
      <c r="GT256">
        <v>0</v>
      </c>
      <c r="GU256" t="s">
        <v>3</v>
      </c>
      <c r="GV256">
        <f t="shared" si="245"/>
        <v>0</v>
      </c>
      <c r="GW256">
        <v>1</v>
      </c>
      <c r="GX256">
        <f t="shared" si="246"/>
        <v>0</v>
      </c>
      <c r="HA256">
        <v>0</v>
      </c>
      <c r="HB256">
        <v>0</v>
      </c>
      <c r="HC256">
        <f t="shared" si="247"/>
        <v>0</v>
      </c>
      <c r="IK256">
        <v>0</v>
      </c>
    </row>
    <row r="257" spans="1:245" x14ac:dyDescent="0.2">
      <c r="A257">
        <v>17</v>
      </c>
      <c r="B257">
        <v>1</v>
      </c>
      <c r="C257">
        <f>ROW(SmtRes!A155)</f>
        <v>155</v>
      </c>
      <c r="D257">
        <f>ROW(EtalonRes!A152)</f>
        <v>152</v>
      </c>
      <c r="E257" t="s">
        <v>258</v>
      </c>
      <c r="F257" t="s">
        <v>259</v>
      </c>
      <c r="G257" t="s">
        <v>260</v>
      </c>
      <c r="H257" t="s">
        <v>261</v>
      </c>
      <c r="I257">
        <f>ROUND(376.72/1000,4)</f>
        <v>0.37669999999999998</v>
      </c>
      <c r="J257">
        <v>0</v>
      </c>
      <c r="O257">
        <f t="shared" si="213"/>
        <v>323</v>
      </c>
      <c r="P257">
        <f t="shared" si="214"/>
        <v>0</v>
      </c>
      <c r="Q257">
        <f t="shared" si="215"/>
        <v>237</v>
      </c>
      <c r="R257">
        <f t="shared" si="216"/>
        <v>28</v>
      </c>
      <c r="S257">
        <f t="shared" si="217"/>
        <v>86</v>
      </c>
      <c r="T257">
        <f t="shared" si="218"/>
        <v>0</v>
      </c>
      <c r="U257">
        <f t="shared" si="219"/>
        <v>13.321053749999999</v>
      </c>
      <c r="V257">
        <f t="shared" si="220"/>
        <v>2.0765587499999998</v>
      </c>
      <c r="W257">
        <f t="shared" si="221"/>
        <v>0</v>
      </c>
      <c r="X257">
        <f t="shared" si="222"/>
        <v>162</v>
      </c>
      <c r="Y257">
        <f t="shared" si="223"/>
        <v>92</v>
      </c>
      <c r="AA257">
        <v>50210945</v>
      </c>
      <c r="AB257">
        <f t="shared" si="224"/>
        <v>857.6</v>
      </c>
      <c r="AC257">
        <f t="shared" si="225"/>
        <v>0.7</v>
      </c>
      <c r="AD257">
        <f>ROUND(((((ET257*1.25))-((EU257*1.25)))+AE257),1)</f>
        <v>628.5</v>
      </c>
      <c r="AE257">
        <f>ROUND(((EU257*1.25)),1)</f>
        <v>74.900000000000006</v>
      </c>
      <c r="AF257">
        <f>ROUND(((EV257*1.15)),1)</f>
        <v>228.4</v>
      </c>
      <c r="AG257">
        <f t="shared" si="226"/>
        <v>0</v>
      </c>
      <c r="AH257">
        <f>((EW257*1.15))</f>
        <v>35.362499999999997</v>
      </c>
      <c r="AI257">
        <f>((EX257*1.25))</f>
        <v>5.5125000000000002</v>
      </c>
      <c r="AJ257">
        <f t="shared" si="227"/>
        <v>0</v>
      </c>
      <c r="AK257">
        <v>702.17</v>
      </c>
      <c r="AL257">
        <v>0.71</v>
      </c>
      <c r="AM257">
        <v>502.81</v>
      </c>
      <c r="AN257">
        <v>59.93</v>
      </c>
      <c r="AO257">
        <v>198.65</v>
      </c>
      <c r="AP257">
        <v>0</v>
      </c>
      <c r="AQ257">
        <v>30.75</v>
      </c>
      <c r="AR257">
        <v>4.41</v>
      </c>
      <c r="AS257">
        <v>0</v>
      </c>
      <c r="AT257">
        <v>142</v>
      </c>
      <c r="AU257">
        <v>81</v>
      </c>
      <c r="AV257">
        <v>1</v>
      </c>
      <c r="AW257">
        <v>1</v>
      </c>
      <c r="AZ257">
        <v>1</v>
      </c>
      <c r="BA257">
        <v>1</v>
      </c>
      <c r="BB257">
        <v>1</v>
      </c>
      <c r="BC257">
        <v>1</v>
      </c>
      <c r="BD257" t="s">
        <v>3</v>
      </c>
      <c r="BE257" t="s">
        <v>3</v>
      </c>
      <c r="BF257" t="s">
        <v>3</v>
      </c>
      <c r="BG257" t="s">
        <v>3</v>
      </c>
      <c r="BH257">
        <v>0</v>
      </c>
      <c r="BI257">
        <v>1</v>
      </c>
      <c r="BJ257" t="s">
        <v>262</v>
      </c>
      <c r="BM257">
        <v>27001</v>
      </c>
      <c r="BN257">
        <v>0</v>
      </c>
      <c r="BO257" t="s">
        <v>3</v>
      </c>
      <c r="BP257">
        <v>0</v>
      </c>
      <c r="BQ257">
        <v>2</v>
      </c>
      <c r="BR257">
        <v>0</v>
      </c>
      <c r="BS257">
        <v>1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142</v>
      </c>
      <c r="CA257">
        <v>95</v>
      </c>
      <c r="CE257">
        <v>0</v>
      </c>
      <c r="CF257">
        <v>0</v>
      </c>
      <c r="CG257">
        <v>0</v>
      </c>
      <c r="CM257">
        <v>0</v>
      </c>
      <c r="CN257" t="s">
        <v>3</v>
      </c>
      <c r="CO257">
        <v>0</v>
      </c>
      <c r="CP257">
        <f t="shared" si="228"/>
        <v>323</v>
      </c>
      <c r="CQ257">
        <f t="shared" si="229"/>
        <v>0.7</v>
      </c>
      <c r="CR257">
        <f t="shared" si="230"/>
        <v>628.5</v>
      </c>
      <c r="CS257">
        <f t="shared" si="231"/>
        <v>74.900000000000006</v>
      </c>
      <c r="CT257">
        <f t="shared" si="232"/>
        <v>228.4</v>
      </c>
      <c r="CU257">
        <f t="shared" si="233"/>
        <v>0</v>
      </c>
      <c r="CV257">
        <f t="shared" si="234"/>
        <v>35.362499999999997</v>
      </c>
      <c r="CW257">
        <f t="shared" si="235"/>
        <v>5.5125000000000002</v>
      </c>
      <c r="CX257">
        <f t="shared" si="236"/>
        <v>0</v>
      </c>
      <c r="CY257">
        <f t="shared" si="237"/>
        <v>161.88</v>
      </c>
      <c r="CZ257">
        <f t="shared" si="238"/>
        <v>92.34</v>
      </c>
      <c r="DC257" t="s">
        <v>3</v>
      </c>
      <c r="DD257" t="s">
        <v>3</v>
      </c>
      <c r="DE257" t="s">
        <v>11</v>
      </c>
      <c r="DF257" t="s">
        <v>11</v>
      </c>
      <c r="DG257" t="s">
        <v>12</v>
      </c>
      <c r="DH257" t="s">
        <v>3</v>
      </c>
      <c r="DI257" t="s">
        <v>12</v>
      </c>
      <c r="DJ257" t="s">
        <v>11</v>
      </c>
      <c r="DK257" t="s">
        <v>3</v>
      </c>
      <c r="DL257" t="s">
        <v>3</v>
      </c>
      <c r="DM257" t="s">
        <v>3</v>
      </c>
      <c r="DN257">
        <v>0</v>
      </c>
      <c r="DO257">
        <v>0</v>
      </c>
      <c r="DP257">
        <v>1</v>
      </c>
      <c r="DQ257">
        <v>1</v>
      </c>
      <c r="DU257">
        <v>1005</v>
      </c>
      <c r="DV257" t="s">
        <v>261</v>
      </c>
      <c r="DW257" t="s">
        <v>261</v>
      </c>
      <c r="DX257">
        <v>1000</v>
      </c>
      <c r="EE257">
        <v>48752256</v>
      </c>
      <c r="EF257">
        <v>2</v>
      </c>
      <c r="EG257" t="s">
        <v>30</v>
      </c>
      <c r="EH257">
        <v>0</v>
      </c>
      <c r="EI257" t="s">
        <v>3</v>
      </c>
      <c r="EJ257">
        <v>1</v>
      </c>
      <c r="EK257">
        <v>27001</v>
      </c>
      <c r="EL257" t="s">
        <v>73</v>
      </c>
      <c r="EM257" t="s">
        <v>74</v>
      </c>
      <c r="EO257" t="s">
        <v>3</v>
      </c>
      <c r="EQ257">
        <v>131072</v>
      </c>
      <c r="ER257">
        <v>702.17</v>
      </c>
      <c r="ES257">
        <v>0.71</v>
      </c>
      <c r="ET257">
        <v>502.81</v>
      </c>
      <c r="EU257">
        <v>59.93</v>
      </c>
      <c r="EV257">
        <v>198.65</v>
      </c>
      <c r="EW257">
        <v>30.75</v>
      </c>
      <c r="EX257">
        <v>4.41</v>
      </c>
      <c r="EY257">
        <v>0</v>
      </c>
      <c r="FQ257">
        <v>0</v>
      </c>
      <c r="FR257">
        <f t="shared" si="239"/>
        <v>0</v>
      </c>
      <c r="FS257">
        <v>0</v>
      </c>
      <c r="FU257" t="s">
        <v>33</v>
      </c>
      <c r="FX257">
        <v>142</v>
      </c>
      <c r="FY257">
        <v>80.75</v>
      </c>
      <c r="GA257" t="s">
        <v>3</v>
      </c>
      <c r="GD257">
        <v>1</v>
      </c>
      <c r="GF257">
        <v>-311926033</v>
      </c>
      <c r="GG257">
        <v>2</v>
      </c>
      <c r="GH257">
        <v>0</v>
      </c>
      <c r="GI257">
        <v>0</v>
      </c>
      <c r="GJ257">
        <v>0</v>
      </c>
      <c r="GK257">
        <v>0</v>
      </c>
      <c r="GL257">
        <f t="shared" si="240"/>
        <v>0</v>
      </c>
      <c r="GM257">
        <f t="shared" si="241"/>
        <v>577</v>
      </c>
      <c r="GN257">
        <f t="shared" si="242"/>
        <v>577</v>
      </c>
      <c r="GO257">
        <f t="shared" si="243"/>
        <v>0</v>
      </c>
      <c r="GP257">
        <f t="shared" si="244"/>
        <v>0</v>
      </c>
      <c r="GR257">
        <v>0</v>
      </c>
      <c r="GS257">
        <v>0</v>
      </c>
      <c r="GT257">
        <v>0</v>
      </c>
      <c r="GU257" t="s">
        <v>3</v>
      </c>
      <c r="GV257">
        <f t="shared" si="245"/>
        <v>0</v>
      </c>
      <c r="GW257">
        <v>1</v>
      </c>
      <c r="GX257">
        <f t="shared" si="246"/>
        <v>0</v>
      </c>
      <c r="HA257">
        <v>0</v>
      </c>
      <c r="HB257">
        <v>0</v>
      </c>
      <c r="HC257">
        <f t="shared" si="247"/>
        <v>0</v>
      </c>
      <c r="IK257">
        <v>0</v>
      </c>
    </row>
    <row r="258" spans="1:245" x14ac:dyDescent="0.2">
      <c r="A258">
        <v>18</v>
      </c>
      <c r="B258">
        <v>1</v>
      </c>
      <c r="C258">
        <v>155</v>
      </c>
      <c r="E258" t="s">
        <v>263</v>
      </c>
      <c r="F258" t="s">
        <v>264</v>
      </c>
      <c r="G258" t="s">
        <v>265</v>
      </c>
      <c r="H258" t="s">
        <v>266</v>
      </c>
      <c r="I258">
        <f>I257*J258</f>
        <v>376.7</v>
      </c>
      <c r="J258">
        <v>1000</v>
      </c>
      <c r="O258">
        <f t="shared" si="213"/>
        <v>1017</v>
      </c>
      <c r="P258">
        <f t="shared" si="214"/>
        <v>1017</v>
      </c>
      <c r="Q258">
        <f t="shared" si="215"/>
        <v>0</v>
      </c>
      <c r="R258">
        <f t="shared" si="216"/>
        <v>0</v>
      </c>
      <c r="S258">
        <f t="shared" si="217"/>
        <v>0</v>
      </c>
      <c r="T258">
        <f t="shared" si="218"/>
        <v>0</v>
      </c>
      <c r="U258">
        <f t="shared" si="219"/>
        <v>0</v>
      </c>
      <c r="V258">
        <f t="shared" si="220"/>
        <v>0</v>
      </c>
      <c r="W258">
        <f t="shared" si="221"/>
        <v>0</v>
      </c>
      <c r="X258">
        <f t="shared" si="222"/>
        <v>0</v>
      </c>
      <c r="Y258">
        <f t="shared" si="223"/>
        <v>0</v>
      </c>
      <c r="AA258">
        <v>50210945</v>
      </c>
      <c r="AB258">
        <f t="shared" si="224"/>
        <v>2.7</v>
      </c>
      <c r="AC258">
        <f t="shared" si="225"/>
        <v>2.7</v>
      </c>
      <c r="AD258">
        <f>ROUND((((ET258)-(EU258))+AE258),1)</f>
        <v>0</v>
      </c>
      <c r="AE258">
        <f>ROUND((EU258),1)</f>
        <v>0</v>
      </c>
      <c r="AF258">
        <f>ROUND((EV258),1)</f>
        <v>0</v>
      </c>
      <c r="AG258">
        <f t="shared" si="226"/>
        <v>0</v>
      </c>
      <c r="AH258">
        <f>(EW258)</f>
        <v>0</v>
      </c>
      <c r="AI258">
        <f>(EX258)</f>
        <v>0</v>
      </c>
      <c r="AJ258">
        <f t="shared" si="227"/>
        <v>0</v>
      </c>
      <c r="AK258">
        <v>2.68</v>
      </c>
      <c r="AL258">
        <v>2.68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142</v>
      </c>
      <c r="AU258">
        <v>81</v>
      </c>
      <c r="AV258">
        <v>1</v>
      </c>
      <c r="AW258">
        <v>1</v>
      </c>
      <c r="AZ258">
        <v>1</v>
      </c>
      <c r="BA258">
        <v>1</v>
      </c>
      <c r="BB258">
        <v>1</v>
      </c>
      <c r="BC258">
        <v>1</v>
      </c>
      <c r="BD258" t="s">
        <v>3</v>
      </c>
      <c r="BE258" t="s">
        <v>3</v>
      </c>
      <c r="BF258" t="s">
        <v>3</v>
      </c>
      <c r="BG258" t="s">
        <v>3</v>
      </c>
      <c r="BH258">
        <v>3</v>
      </c>
      <c r="BI258">
        <v>1</v>
      </c>
      <c r="BJ258" t="s">
        <v>267</v>
      </c>
      <c r="BM258">
        <v>27001</v>
      </c>
      <c r="BN258">
        <v>0</v>
      </c>
      <c r="BO258" t="s">
        <v>3</v>
      </c>
      <c r="BP258">
        <v>0</v>
      </c>
      <c r="BQ258">
        <v>2</v>
      </c>
      <c r="BR258">
        <v>0</v>
      </c>
      <c r="BS258">
        <v>1</v>
      </c>
      <c r="BT258">
        <v>1</v>
      </c>
      <c r="BU258">
        <v>1</v>
      </c>
      <c r="BV258">
        <v>1</v>
      </c>
      <c r="BW258">
        <v>1</v>
      </c>
      <c r="BX258">
        <v>1</v>
      </c>
      <c r="BY258" t="s">
        <v>3</v>
      </c>
      <c r="BZ258">
        <v>142</v>
      </c>
      <c r="CA258">
        <v>95</v>
      </c>
      <c r="CE258">
        <v>0</v>
      </c>
      <c r="CF258">
        <v>0</v>
      </c>
      <c r="CG258">
        <v>0</v>
      </c>
      <c r="CM258">
        <v>0</v>
      </c>
      <c r="CN258" t="s">
        <v>3</v>
      </c>
      <c r="CO258">
        <v>0</v>
      </c>
      <c r="CP258">
        <f t="shared" si="228"/>
        <v>1017</v>
      </c>
      <c r="CQ258">
        <f t="shared" si="229"/>
        <v>2.7</v>
      </c>
      <c r="CR258">
        <f t="shared" si="230"/>
        <v>0</v>
      </c>
      <c r="CS258">
        <f t="shared" si="231"/>
        <v>0</v>
      </c>
      <c r="CT258">
        <f t="shared" si="232"/>
        <v>0</v>
      </c>
      <c r="CU258">
        <f t="shared" si="233"/>
        <v>0</v>
      </c>
      <c r="CV258">
        <f t="shared" si="234"/>
        <v>0</v>
      </c>
      <c r="CW258">
        <f t="shared" si="235"/>
        <v>0</v>
      </c>
      <c r="CX258">
        <f t="shared" si="236"/>
        <v>0</v>
      </c>
      <c r="CY258">
        <f t="shared" si="237"/>
        <v>0</v>
      </c>
      <c r="CZ258">
        <f t="shared" si="238"/>
        <v>0</v>
      </c>
      <c r="DC258" t="s">
        <v>3</v>
      </c>
      <c r="DD258" t="s">
        <v>3</v>
      </c>
      <c r="DE258" t="s">
        <v>3</v>
      </c>
      <c r="DF258" t="s">
        <v>3</v>
      </c>
      <c r="DG258" t="s">
        <v>3</v>
      </c>
      <c r="DH258" t="s">
        <v>3</v>
      </c>
      <c r="DI258" t="s">
        <v>3</v>
      </c>
      <c r="DJ258" t="s">
        <v>3</v>
      </c>
      <c r="DK258" t="s">
        <v>3</v>
      </c>
      <c r="DL258" t="s">
        <v>3</v>
      </c>
      <c r="DM258" t="s">
        <v>3</v>
      </c>
      <c r="DN258">
        <v>0</v>
      </c>
      <c r="DO258">
        <v>0</v>
      </c>
      <c r="DP258">
        <v>1</v>
      </c>
      <c r="DQ258">
        <v>1</v>
      </c>
      <c r="DU258">
        <v>1005</v>
      </c>
      <c r="DV258" t="s">
        <v>266</v>
      </c>
      <c r="DW258" t="s">
        <v>266</v>
      </c>
      <c r="DX258">
        <v>1</v>
      </c>
      <c r="EE258">
        <v>48752256</v>
      </c>
      <c r="EF258">
        <v>2</v>
      </c>
      <c r="EG258" t="s">
        <v>30</v>
      </c>
      <c r="EH258">
        <v>0</v>
      </c>
      <c r="EI258" t="s">
        <v>3</v>
      </c>
      <c r="EJ258">
        <v>1</v>
      </c>
      <c r="EK258">
        <v>27001</v>
      </c>
      <c r="EL258" t="s">
        <v>73</v>
      </c>
      <c r="EM258" t="s">
        <v>74</v>
      </c>
      <c r="EO258" t="s">
        <v>3</v>
      </c>
      <c r="EQ258">
        <v>0</v>
      </c>
      <c r="ER258">
        <v>2.68</v>
      </c>
      <c r="ES258">
        <v>2.68</v>
      </c>
      <c r="ET258">
        <v>0</v>
      </c>
      <c r="EU258">
        <v>0</v>
      </c>
      <c r="EV258">
        <v>0</v>
      </c>
      <c r="EW258">
        <v>0</v>
      </c>
      <c r="EX258">
        <v>0</v>
      </c>
      <c r="FQ258">
        <v>0</v>
      </c>
      <c r="FR258">
        <f t="shared" si="239"/>
        <v>0</v>
      </c>
      <c r="FS258">
        <v>0</v>
      </c>
      <c r="FU258" t="s">
        <v>33</v>
      </c>
      <c r="FX258">
        <v>142</v>
      </c>
      <c r="FY258">
        <v>80.75</v>
      </c>
      <c r="GA258" t="s">
        <v>3</v>
      </c>
      <c r="GD258">
        <v>1</v>
      </c>
      <c r="GF258">
        <v>1165642411</v>
      </c>
      <c r="GG258">
        <v>2</v>
      </c>
      <c r="GH258">
        <v>0</v>
      </c>
      <c r="GI258">
        <v>0</v>
      </c>
      <c r="GJ258">
        <v>0</v>
      </c>
      <c r="GK258">
        <v>0</v>
      </c>
      <c r="GL258">
        <f t="shared" si="240"/>
        <v>0</v>
      </c>
      <c r="GM258">
        <f t="shared" si="241"/>
        <v>1017</v>
      </c>
      <c r="GN258">
        <f t="shared" si="242"/>
        <v>1017</v>
      </c>
      <c r="GO258">
        <f t="shared" si="243"/>
        <v>0</v>
      </c>
      <c r="GP258">
        <f t="shared" si="244"/>
        <v>0</v>
      </c>
      <c r="GR258">
        <v>0</v>
      </c>
      <c r="GS258">
        <v>0</v>
      </c>
      <c r="GT258">
        <v>0</v>
      </c>
      <c r="GU258" t="s">
        <v>3</v>
      </c>
      <c r="GV258">
        <f t="shared" si="245"/>
        <v>0</v>
      </c>
      <c r="GW258">
        <v>1</v>
      </c>
      <c r="GX258">
        <f t="shared" si="246"/>
        <v>0</v>
      </c>
      <c r="HA258">
        <v>0</v>
      </c>
      <c r="HB258">
        <v>0</v>
      </c>
      <c r="HC258">
        <f t="shared" si="247"/>
        <v>0</v>
      </c>
      <c r="IK258">
        <v>0</v>
      </c>
    </row>
    <row r="259" spans="1:245" x14ac:dyDescent="0.2">
      <c r="A259">
        <v>17</v>
      </c>
      <c r="B259">
        <v>1</v>
      </c>
      <c r="C259">
        <f>ROW(SmtRes!A165)</f>
        <v>165</v>
      </c>
      <c r="D259">
        <f>ROW(EtalonRes!A161)</f>
        <v>161</v>
      </c>
      <c r="E259" t="s">
        <v>268</v>
      </c>
      <c r="F259" t="s">
        <v>269</v>
      </c>
      <c r="G259" t="s">
        <v>270</v>
      </c>
      <c r="H259" t="s">
        <v>271</v>
      </c>
      <c r="I259">
        <f>ROUND(376.72/100,4)</f>
        <v>3.7671999999999999</v>
      </c>
      <c r="J259">
        <v>0</v>
      </c>
      <c r="O259">
        <f t="shared" si="213"/>
        <v>32642</v>
      </c>
      <c r="P259">
        <f t="shared" si="214"/>
        <v>29522</v>
      </c>
      <c r="Q259">
        <f t="shared" si="215"/>
        <v>1898</v>
      </c>
      <c r="R259">
        <f t="shared" si="216"/>
        <v>26</v>
      </c>
      <c r="S259">
        <f t="shared" si="217"/>
        <v>1222</v>
      </c>
      <c r="T259">
        <f t="shared" si="218"/>
        <v>0</v>
      </c>
      <c r="U259">
        <f t="shared" si="219"/>
        <v>183.688672</v>
      </c>
      <c r="V259">
        <f t="shared" si="220"/>
        <v>1.9777800000000001</v>
      </c>
      <c r="W259">
        <f t="shared" si="221"/>
        <v>0</v>
      </c>
      <c r="X259">
        <f t="shared" si="222"/>
        <v>1772</v>
      </c>
      <c r="Y259">
        <f t="shared" si="223"/>
        <v>1011</v>
      </c>
      <c r="AA259">
        <v>50210945</v>
      </c>
      <c r="AB259">
        <f t="shared" si="224"/>
        <v>8664.7000000000007</v>
      </c>
      <c r="AC259">
        <f t="shared" si="225"/>
        <v>7836.7</v>
      </c>
      <c r="AD259">
        <f>ROUND(((((ET259*1.25))-((EU259*1.25)))+AE259),1)</f>
        <v>503.7</v>
      </c>
      <c r="AE259">
        <f>ROUND(((EU259*1.25)),1)</f>
        <v>6.9</v>
      </c>
      <c r="AF259">
        <f>ROUND(((EV259*1.15)),1)</f>
        <v>324.3</v>
      </c>
      <c r="AG259">
        <f t="shared" si="226"/>
        <v>0</v>
      </c>
      <c r="AH259">
        <f>((EW259*1.15))</f>
        <v>48.76</v>
      </c>
      <c r="AI259">
        <f>((EX259*1.25))</f>
        <v>0.52500000000000002</v>
      </c>
      <c r="AJ259">
        <f t="shared" si="227"/>
        <v>0</v>
      </c>
      <c r="AK259">
        <v>8521.65</v>
      </c>
      <c r="AL259">
        <v>7836.71</v>
      </c>
      <c r="AM259">
        <v>402.98</v>
      </c>
      <c r="AN259">
        <v>5.54</v>
      </c>
      <c r="AO259">
        <v>281.95999999999998</v>
      </c>
      <c r="AP259">
        <v>0</v>
      </c>
      <c r="AQ259">
        <v>42.4</v>
      </c>
      <c r="AR259">
        <v>0.42</v>
      </c>
      <c r="AS259">
        <v>0</v>
      </c>
      <c r="AT259">
        <v>142</v>
      </c>
      <c r="AU259">
        <v>81</v>
      </c>
      <c r="AV259">
        <v>1</v>
      </c>
      <c r="AW259">
        <v>1</v>
      </c>
      <c r="AZ259">
        <v>1</v>
      </c>
      <c r="BA259">
        <v>1</v>
      </c>
      <c r="BB259">
        <v>1</v>
      </c>
      <c r="BC259">
        <v>1</v>
      </c>
      <c r="BD259" t="s">
        <v>3</v>
      </c>
      <c r="BE259" t="s">
        <v>3</v>
      </c>
      <c r="BF259" t="s">
        <v>3</v>
      </c>
      <c r="BG259" t="s">
        <v>3</v>
      </c>
      <c r="BH259">
        <v>0</v>
      </c>
      <c r="BI259">
        <v>1</v>
      </c>
      <c r="BJ259" t="s">
        <v>272</v>
      </c>
      <c r="BM259">
        <v>27001</v>
      </c>
      <c r="BN259">
        <v>0</v>
      </c>
      <c r="BO259" t="s">
        <v>3</v>
      </c>
      <c r="BP259">
        <v>0</v>
      </c>
      <c r="BQ259">
        <v>2</v>
      </c>
      <c r="BR259">
        <v>0</v>
      </c>
      <c r="BS259">
        <v>1</v>
      </c>
      <c r="BT259">
        <v>1</v>
      </c>
      <c r="BU259">
        <v>1</v>
      </c>
      <c r="BV259">
        <v>1</v>
      </c>
      <c r="BW259">
        <v>1</v>
      </c>
      <c r="BX259">
        <v>1</v>
      </c>
      <c r="BY259" t="s">
        <v>3</v>
      </c>
      <c r="BZ259">
        <v>142</v>
      </c>
      <c r="CA259">
        <v>95</v>
      </c>
      <c r="CE259">
        <v>0</v>
      </c>
      <c r="CF259">
        <v>0</v>
      </c>
      <c r="CG259">
        <v>0</v>
      </c>
      <c r="CM259">
        <v>0</v>
      </c>
      <c r="CN259" t="s">
        <v>3</v>
      </c>
      <c r="CO259">
        <v>0</v>
      </c>
      <c r="CP259">
        <f t="shared" si="228"/>
        <v>32642</v>
      </c>
      <c r="CQ259">
        <f t="shared" si="229"/>
        <v>7836.7</v>
      </c>
      <c r="CR259">
        <f t="shared" si="230"/>
        <v>503.7</v>
      </c>
      <c r="CS259">
        <f t="shared" si="231"/>
        <v>6.9</v>
      </c>
      <c r="CT259">
        <f t="shared" si="232"/>
        <v>324.3</v>
      </c>
      <c r="CU259">
        <f t="shared" si="233"/>
        <v>0</v>
      </c>
      <c r="CV259">
        <f t="shared" si="234"/>
        <v>48.76</v>
      </c>
      <c r="CW259">
        <f t="shared" si="235"/>
        <v>0.52500000000000002</v>
      </c>
      <c r="CX259">
        <f t="shared" si="236"/>
        <v>0</v>
      </c>
      <c r="CY259">
        <f t="shared" si="237"/>
        <v>1772.16</v>
      </c>
      <c r="CZ259">
        <f t="shared" si="238"/>
        <v>1010.88</v>
      </c>
      <c r="DC259" t="s">
        <v>3</v>
      </c>
      <c r="DD259" t="s">
        <v>3</v>
      </c>
      <c r="DE259" t="s">
        <v>11</v>
      </c>
      <c r="DF259" t="s">
        <v>11</v>
      </c>
      <c r="DG259" t="s">
        <v>12</v>
      </c>
      <c r="DH259" t="s">
        <v>3</v>
      </c>
      <c r="DI259" t="s">
        <v>12</v>
      </c>
      <c r="DJ259" t="s">
        <v>11</v>
      </c>
      <c r="DK259" t="s">
        <v>3</v>
      </c>
      <c r="DL259" t="s">
        <v>3</v>
      </c>
      <c r="DM259" t="s">
        <v>3</v>
      </c>
      <c r="DN259">
        <v>0</v>
      </c>
      <c r="DO259">
        <v>0</v>
      </c>
      <c r="DP259">
        <v>1</v>
      </c>
      <c r="DQ259">
        <v>1</v>
      </c>
      <c r="DU259">
        <v>1013</v>
      </c>
      <c r="DV259" t="s">
        <v>271</v>
      </c>
      <c r="DW259" t="s">
        <v>271</v>
      </c>
      <c r="DX259">
        <v>1</v>
      </c>
      <c r="EE259">
        <v>48752256</v>
      </c>
      <c r="EF259">
        <v>2</v>
      </c>
      <c r="EG259" t="s">
        <v>30</v>
      </c>
      <c r="EH259">
        <v>0</v>
      </c>
      <c r="EI259" t="s">
        <v>3</v>
      </c>
      <c r="EJ259">
        <v>1</v>
      </c>
      <c r="EK259">
        <v>27001</v>
      </c>
      <c r="EL259" t="s">
        <v>73</v>
      </c>
      <c r="EM259" t="s">
        <v>74</v>
      </c>
      <c r="EO259" t="s">
        <v>3</v>
      </c>
      <c r="EQ259">
        <v>131072</v>
      </c>
      <c r="ER259">
        <v>8521.65</v>
      </c>
      <c r="ES259">
        <v>7836.71</v>
      </c>
      <c r="ET259">
        <v>402.98</v>
      </c>
      <c r="EU259">
        <v>5.54</v>
      </c>
      <c r="EV259">
        <v>281.95999999999998</v>
      </c>
      <c r="EW259">
        <v>42.4</v>
      </c>
      <c r="EX259">
        <v>0.42</v>
      </c>
      <c r="EY259">
        <v>0</v>
      </c>
      <c r="FQ259">
        <v>0</v>
      </c>
      <c r="FR259">
        <f t="shared" si="239"/>
        <v>0</v>
      </c>
      <c r="FS259">
        <v>0</v>
      </c>
      <c r="FU259" t="s">
        <v>33</v>
      </c>
      <c r="FX259">
        <v>142</v>
      </c>
      <c r="FY259">
        <v>80.75</v>
      </c>
      <c r="GA259" t="s">
        <v>3</v>
      </c>
      <c r="GD259">
        <v>1</v>
      </c>
      <c r="GF259">
        <v>1256600674</v>
      </c>
      <c r="GG259">
        <v>2</v>
      </c>
      <c r="GH259">
        <v>0</v>
      </c>
      <c r="GI259">
        <v>0</v>
      </c>
      <c r="GJ259">
        <v>0</v>
      </c>
      <c r="GK259">
        <v>0</v>
      </c>
      <c r="GL259">
        <f t="shared" si="240"/>
        <v>0</v>
      </c>
      <c r="GM259">
        <f t="shared" si="241"/>
        <v>35425</v>
      </c>
      <c r="GN259">
        <f t="shared" si="242"/>
        <v>35425</v>
      </c>
      <c r="GO259">
        <f t="shared" si="243"/>
        <v>0</v>
      </c>
      <c r="GP259">
        <f t="shared" si="244"/>
        <v>0</v>
      </c>
      <c r="GR259">
        <v>0</v>
      </c>
      <c r="GS259">
        <v>0</v>
      </c>
      <c r="GT259">
        <v>0</v>
      </c>
      <c r="GU259" t="s">
        <v>3</v>
      </c>
      <c r="GV259">
        <f t="shared" si="245"/>
        <v>0</v>
      </c>
      <c r="GW259">
        <v>1</v>
      </c>
      <c r="GX259">
        <f t="shared" si="246"/>
        <v>0</v>
      </c>
      <c r="HA259">
        <v>0</v>
      </c>
      <c r="HB259">
        <v>0</v>
      </c>
      <c r="HC259">
        <f t="shared" si="247"/>
        <v>0</v>
      </c>
      <c r="IK259">
        <v>0</v>
      </c>
    </row>
    <row r="260" spans="1:245" x14ac:dyDescent="0.2">
      <c r="A260">
        <v>18</v>
      </c>
      <c r="B260">
        <v>1</v>
      </c>
      <c r="C260">
        <v>162</v>
      </c>
      <c r="E260" t="s">
        <v>273</v>
      </c>
      <c r="F260" t="s">
        <v>274</v>
      </c>
      <c r="G260" t="s">
        <v>275</v>
      </c>
      <c r="H260" t="s">
        <v>266</v>
      </c>
      <c r="I260">
        <f>I259*J260</f>
        <v>-376.72</v>
      </c>
      <c r="J260">
        <v>-100.00000000000001</v>
      </c>
      <c r="O260">
        <f t="shared" si="213"/>
        <v>-24637</v>
      </c>
      <c r="P260">
        <f t="shared" si="214"/>
        <v>-24637</v>
      </c>
      <c r="Q260">
        <f t="shared" si="215"/>
        <v>0</v>
      </c>
      <c r="R260">
        <f t="shared" si="216"/>
        <v>0</v>
      </c>
      <c r="S260">
        <f t="shared" si="217"/>
        <v>0</v>
      </c>
      <c r="T260">
        <f t="shared" si="218"/>
        <v>0</v>
      </c>
      <c r="U260">
        <f t="shared" si="219"/>
        <v>0</v>
      </c>
      <c r="V260">
        <f t="shared" si="220"/>
        <v>0</v>
      </c>
      <c r="W260">
        <f t="shared" si="221"/>
        <v>0</v>
      </c>
      <c r="X260">
        <f t="shared" si="222"/>
        <v>0</v>
      </c>
      <c r="Y260">
        <f t="shared" si="223"/>
        <v>0</v>
      </c>
      <c r="AA260">
        <v>50210945</v>
      </c>
      <c r="AB260">
        <f t="shared" si="224"/>
        <v>65.400000000000006</v>
      </c>
      <c r="AC260">
        <f t="shared" si="225"/>
        <v>65.400000000000006</v>
      </c>
      <c r="AD260">
        <f>ROUND((((ET260)-(EU260))+AE260),1)</f>
        <v>0</v>
      </c>
      <c r="AE260">
        <f>ROUND((EU260),1)</f>
        <v>0</v>
      </c>
      <c r="AF260">
        <f>ROUND((EV260),1)</f>
        <v>0</v>
      </c>
      <c r="AG260">
        <f t="shared" si="226"/>
        <v>0</v>
      </c>
      <c r="AH260">
        <f>(EW260)</f>
        <v>0</v>
      </c>
      <c r="AI260">
        <f>(EX260)</f>
        <v>0</v>
      </c>
      <c r="AJ260">
        <f t="shared" si="227"/>
        <v>0</v>
      </c>
      <c r="AK260">
        <v>65.349999999999994</v>
      </c>
      <c r="AL260">
        <v>65.349999999999994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142</v>
      </c>
      <c r="AU260">
        <v>81</v>
      </c>
      <c r="AV260">
        <v>1</v>
      </c>
      <c r="AW260">
        <v>1</v>
      </c>
      <c r="AZ260">
        <v>1</v>
      </c>
      <c r="BA260">
        <v>1</v>
      </c>
      <c r="BB260">
        <v>1</v>
      </c>
      <c r="BC260">
        <v>1</v>
      </c>
      <c r="BD260" t="s">
        <v>3</v>
      </c>
      <c r="BE260" t="s">
        <v>3</v>
      </c>
      <c r="BF260" t="s">
        <v>3</v>
      </c>
      <c r="BG260" t="s">
        <v>3</v>
      </c>
      <c r="BH260">
        <v>3</v>
      </c>
      <c r="BI260">
        <v>1</v>
      </c>
      <c r="BJ260" t="s">
        <v>276</v>
      </c>
      <c r="BM260">
        <v>27001</v>
      </c>
      <c r="BN260">
        <v>0</v>
      </c>
      <c r="BO260" t="s">
        <v>3</v>
      </c>
      <c r="BP260">
        <v>0</v>
      </c>
      <c r="BQ260">
        <v>2</v>
      </c>
      <c r="BR260">
        <v>1</v>
      </c>
      <c r="BS260">
        <v>1</v>
      </c>
      <c r="BT260">
        <v>1</v>
      </c>
      <c r="BU260">
        <v>1</v>
      </c>
      <c r="BV260">
        <v>1</v>
      </c>
      <c r="BW260">
        <v>1</v>
      </c>
      <c r="BX260">
        <v>1</v>
      </c>
      <c r="BY260" t="s">
        <v>3</v>
      </c>
      <c r="BZ260">
        <v>142</v>
      </c>
      <c r="CA260">
        <v>95</v>
      </c>
      <c r="CE260">
        <v>0</v>
      </c>
      <c r="CF260">
        <v>0</v>
      </c>
      <c r="CG260">
        <v>0</v>
      </c>
      <c r="CM260">
        <v>0</v>
      </c>
      <c r="CN260" t="s">
        <v>3</v>
      </c>
      <c r="CO260">
        <v>0</v>
      </c>
      <c r="CP260">
        <f t="shared" si="228"/>
        <v>-24637</v>
      </c>
      <c r="CQ260">
        <f t="shared" si="229"/>
        <v>65.400000000000006</v>
      </c>
      <c r="CR260">
        <f t="shared" si="230"/>
        <v>0</v>
      </c>
      <c r="CS260">
        <f t="shared" si="231"/>
        <v>0</v>
      </c>
      <c r="CT260">
        <f t="shared" si="232"/>
        <v>0</v>
      </c>
      <c r="CU260">
        <f t="shared" si="233"/>
        <v>0</v>
      </c>
      <c r="CV260">
        <f t="shared" si="234"/>
        <v>0</v>
      </c>
      <c r="CW260">
        <f t="shared" si="235"/>
        <v>0</v>
      </c>
      <c r="CX260">
        <f t="shared" si="236"/>
        <v>0</v>
      </c>
      <c r="CY260">
        <f t="shared" si="237"/>
        <v>0</v>
      </c>
      <c r="CZ260">
        <f t="shared" si="238"/>
        <v>0</v>
      </c>
      <c r="DC260" t="s">
        <v>3</v>
      </c>
      <c r="DD260" t="s">
        <v>3</v>
      </c>
      <c r="DE260" t="s">
        <v>3</v>
      </c>
      <c r="DF260" t="s">
        <v>3</v>
      </c>
      <c r="DG260" t="s">
        <v>3</v>
      </c>
      <c r="DH260" t="s">
        <v>3</v>
      </c>
      <c r="DI260" t="s">
        <v>3</v>
      </c>
      <c r="DJ260" t="s">
        <v>3</v>
      </c>
      <c r="DK260" t="s">
        <v>3</v>
      </c>
      <c r="DL260" t="s">
        <v>3</v>
      </c>
      <c r="DM260" t="s">
        <v>3</v>
      </c>
      <c r="DN260">
        <v>0</v>
      </c>
      <c r="DO260">
        <v>0</v>
      </c>
      <c r="DP260">
        <v>1</v>
      </c>
      <c r="DQ260">
        <v>1</v>
      </c>
      <c r="DU260">
        <v>1005</v>
      </c>
      <c r="DV260" t="s">
        <v>266</v>
      </c>
      <c r="DW260" t="s">
        <v>266</v>
      </c>
      <c r="DX260">
        <v>1</v>
      </c>
      <c r="EE260">
        <v>48752256</v>
      </c>
      <c r="EF260">
        <v>2</v>
      </c>
      <c r="EG260" t="s">
        <v>30</v>
      </c>
      <c r="EH260">
        <v>0</v>
      </c>
      <c r="EI260" t="s">
        <v>3</v>
      </c>
      <c r="EJ260">
        <v>1</v>
      </c>
      <c r="EK260">
        <v>27001</v>
      </c>
      <c r="EL260" t="s">
        <v>73</v>
      </c>
      <c r="EM260" t="s">
        <v>74</v>
      </c>
      <c r="EO260" t="s">
        <v>3</v>
      </c>
      <c r="EQ260">
        <v>0</v>
      </c>
      <c r="ER260">
        <v>65.349999999999994</v>
      </c>
      <c r="ES260">
        <v>65.349999999999994</v>
      </c>
      <c r="ET260">
        <v>0</v>
      </c>
      <c r="EU260">
        <v>0</v>
      </c>
      <c r="EV260">
        <v>0</v>
      </c>
      <c r="EW260">
        <v>0</v>
      </c>
      <c r="EX260">
        <v>0</v>
      </c>
      <c r="FQ260">
        <v>0</v>
      </c>
      <c r="FR260">
        <f t="shared" si="239"/>
        <v>0</v>
      </c>
      <c r="FS260">
        <v>0</v>
      </c>
      <c r="FU260" t="s">
        <v>33</v>
      </c>
      <c r="FX260">
        <v>142</v>
      </c>
      <c r="FY260">
        <v>80.75</v>
      </c>
      <c r="GA260" t="s">
        <v>3</v>
      </c>
      <c r="GD260">
        <v>1</v>
      </c>
      <c r="GF260">
        <v>1579892875</v>
      </c>
      <c r="GG260">
        <v>2</v>
      </c>
      <c r="GH260">
        <v>0</v>
      </c>
      <c r="GI260">
        <v>0</v>
      </c>
      <c r="GJ260">
        <v>0</v>
      </c>
      <c r="GK260">
        <v>0</v>
      </c>
      <c r="GL260">
        <f t="shared" si="240"/>
        <v>0</v>
      </c>
      <c r="GM260">
        <f t="shared" si="241"/>
        <v>-24637</v>
      </c>
      <c r="GN260">
        <f t="shared" si="242"/>
        <v>-24637</v>
      </c>
      <c r="GO260">
        <f t="shared" si="243"/>
        <v>0</v>
      </c>
      <c r="GP260">
        <f t="shared" si="244"/>
        <v>0</v>
      </c>
      <c r="GR260">
        <v>0</v>
      </c>
      <c r="GS260">
        <v>0</v>
      </c>
      <c r="GT260">
        <v>0</v>
      </c>
      <c r="GU260" t="s">
        <v>3</v>
      </c>
      <c r="GV260">
        <f t="shared" si="245"/>
        <v>0</v>
      </c>
      <c r="GW260">
        <v>1</v>
      </c>
      <c r="GX260">
        <f t="shared" si="246"/>
        <v>0</v>
      </c>
      <c r="HA260">
        <v>0</v>
      </c>
      <c r="HB260">
        <v>0</v>
      </c>
      <c r="HC260">
        <f t="shared" si="247"/>
        <v>0</v>
      </c>
      <c r="IK260">
        <v>0</v>
      </c>
    </row>
    <row r="261" spans="1:245" x14ac:dyDescent="0.2">
      <c r="A261">
        <v>18</v>
      </c>
      <c r="B261">
        <v>1</v>
      </c>
      <c r="C261">
        <v>163</v>
      </c>
      <c r="E261" t="s">
        <v>277</v>
      </c>
      <c r="F261" t="s">
        <v>278</v>
      </c>
      <c r="G261" t="s">
        <v>279</v>
      </c>
      <c r="H261" t="s">
        <v>266</v>
      </c>
      <c r="I261">
        <f>I259*J261</f>
        <v>376.72</v>
      </c>
      <c r="J261">
        <v>100.00000000000001</v>
      </c>
      <c r="O261">
        <f t="shared" si="213"/>
        <v>31004</v>
      </c>
      <c r="P261">
        <f t="shared" si="214"/>
        <v>31004</v>
      </c>
      <c r="Q261">
        <f t="shared" si="215"/>
        <v>0</v>
      </c>
      <c r="R261">
        <f t="shared" si="216"/>
        <v>0</v>
      </c>
      <c r="S261">
        <f t="shared" si="217"/>
        <v>0</v>
      </c>
      <c r="T261">
        <f t="shared" si="218"/>
        <v>0</v>
      </c>
      <c r="U261">
        <f t="shared" si="219"/>
        <v>0</v>
      </c>
      <c r="V261">
        <f t="shared" si="220"/>
        <v>0</v>
      </c>
      <c r="W261">
        <f t="shared" si="221"/>
        <v>0</v>
      </c>
      <c r="X261">
        <f t="shared" si="222"/>
        <v>0</v>
      </c>
      <c r="Y261">
        <f t="shared" si="223"/>
        <v>0</v>
      </c>
      <c r="AA261">
        <v>50210945</v>
      </c>
      <c r="AB261">
        <f t="shared" si="224"/>
        <v>82.3</v>
      </c>
      <c r="AC261">
        <f t="shared" si="225"/>
        <v>82.3</v>
      </c>
      <c r="AD261">
        <f>ROUND((((ET261)-(EU261))+AE261),1)</f>
        <v>0</v>
      </c>
      <c r="AE261">
        <f>ROUND((EU261),1)</f>
        <v>0</v>
      </c>
      <c r="AF261">
        <f>ROUND((EV261),1)</f>
        <v>0</v>
      </c>
      <c r="AG261">
        <f t="shared" si="226"/>
        <v>0</v>
      </c>
      <c r="AH261">
        <f>(EW261)</f>
        <v>0</v>
      </c>
      <c r="AI261">
        <f>(EX261)</f>
        <v>0</v>
      </c>
      <c r="AJ261">
        <f t="shared" si="227"/>
        <v>0</v>
      </c>
      <c r="AK261">
        <v>82.33</v>
      </c>
      <c r="AL261">
        <v>82.33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142</v>
      </c>
      <c r="AU261">
        <v>81</v>
      </c>
      <c r="AV261">
        <v>1</v>
      </c>
      <c r="AW261">
        <v>1</v>
      </c>
      <c r="AZ261">
        <v>1</v>
      </c>
      <c r="BA261">
        <v>1</v>
      </c>
      <c r="BB261">
        <v>1</v>
      </c>
      <c r="BC261">
        <v>1</v>
      </c>
      <c r="BD261" t="s">
        <v>3</v>
      </c>
      <c r="BE261" t="s">
        <v>3</v>
      </c>
      <c r="BF261" t="s">
        <v>3</v>
      </c>
      <c r="BG261" t="s">
        <v>3</v>
      </c>
      <c r="BH261">
        <v>3</v>
      </c>
      <c r="BI261">
        <v>1</v>
      </c>
      <c r="BJ261" t="s">
        <v>280</v>
      </c>
      <c r="BM261">
        <v>27001</v>
      </c>
      <c r="BN261">
        <v>0</v>
      </c>
      <c r="BO261" t="s">
        <v>3</v>
      </c>
      <c r="BP261">
        <v>0</v>
      </c>
      <c r="BQ261">
        <v>2</v>
      </c>
      <c r="BR261">
        <v>0</v>
      </c>
      <c r="BS261">
        <v>1</v>
      </c>
      <c r="BT261">
        <v>1</v>
      </c>
      <c r="BU261">
        <v>1</v>
      </c>
      <c r="BV261">
        <v>1</v>
      </c>
      <c r="BW261">
        <v>1</v>
      </c>
      <c r="BX261">
        <v>1</v>
      </c>
      <c r="BY261" t="s">
        <v>3</v>
      </c>
      <c r="BZ261">
        <v>142</v>
      </c>
      <c r="CA261">
        <v>95</v>
      </c>
      <c r="CE261">
        <v>0</v>
      </c>
      <c r="CF261">
        <v>0</v>
      </c>
      <c r="CG261">
        <v>0</v>
      </c>
      <c r="CM261">
        <v>0</v>
      </c>
      <c r="CN261" t="s">
        <v>3</v>
      </c>
      <c r="CO261">
        <v>0</v>
      </c>
      <c r="CP261">
        <f t="shared" si="228"/>
        <v>31004</v>
      </c>
      <c r="CQ261">
        <f t="shared" si="229"/>
        <v>82.3</v>
      </c>
      <c r="CR261">
        <f t="shared" si="230"/>
        <v>0</v>
      </c>
      <c r="CS261">
        <f t="shared" si="231"/>
        <v>0</v>
      </c>
      <c r="CT261">
        <f t="shared" si="232"/>
        <v>0</v>
      </c>
      <c r="CU261">
        <f t="shared" si="233"/>
        <v>0</v>
      </c>
      <c r="CV261">
        <f t="shared" si="234"/>
        <v>0</v>
      </c>
      <c r="CW261">
        <f t="shared" si="235"/>
        <v>0</v>
      </c>
      <c r="CX261">
        <f t="shared" si="236"/>
        <v>0</v>
      </c>
      <c r="CY261">
        <f t="shared" si="237"/>
        <v>0</v>
      </c>
      <c r="CZ261">
        <f t="shared" si="238"/>
        <v>0</v>
      </c>
      <c r="DC261" t="s">
        <v>3</v>
      </c>
      <c r="DD261" t="s">
        <v>3</v>
      </c>
      <c r="DE261" t="s">
        <v>3</v>
      </c>
      <c r="DF261" t="s">
        <v>3</v>
      </c>
      <c r="DG261" t="s">
        <v>3</v>
      </c>
      <c r="DH261" t="s">
        <v>3</v>
      </c>
      <c r="DI261" t="s">
        <v>3</v>
      </c>
      <c r="DJ261" t="s">
        <v>3</v>
      </c>
      <c r="DK261" t="s">
        <v>3</v>
      </c>
      <c r="DL261" t="s">
        <v>3</v>
      </c>
      <c r="DM261" t="s">
        <v>3</v>
      </c>
      <c r="DN261">
        <v>0</v>
      </c>
      <c r="DO261">
        <v>0</v>
      </c>
      <c r="DP261">
        <v>1</v>
      </c>
      <c r="DQ261">
        <v>1</v>
      </c>
      <c r="DU261">
        <v>1005</v>
      </c>
      <c r="DV261" t="s">
        <v>266</v>
      </c>
      <c r="DW261" t="s">
        <v>266</v>
      </c>
      <c r="DX261">
        <v>1</v>
      </c>
      <c r="EE261">
        <v>48752256</v>
      </c>
      <c r="EF261">
        <v>2</v>
      </c>
      <c r="EG261" t="s">
        <v>30</v>
      </c>
      <c r="EH261">
        <v>0</v>
      </c>
      <c r="EI261" t="s">
        <v>3</v>
      </c>
      <c r="EJ261">
        <v>1</v>
      </c>
      <c r="EK261">
        <v>27001</v>
      </c>
      <c r="EL261" t="s">
        <v>73</v>
      </c>
      <c r="EM261" t="s">
        <v>74</v>
      </c>
      <c r="EO261" t="s">
        <v>3</v>
      </c>
      <c r="EQ261">
        <v>0</v>
      </c>
      <c r="ER261">
        <v>82.33</v>
      </c>
      <c r="ES261">
        <v>82.33</v>
      </c>
      <c r="ET261">
        <v>0</v>
      </c>
      <c r="EU261">
        <v>0</v>
      </c>
      <c r="EV261">
        <v>0</v>
      </c>
      <c r="EW261">
        <v>0</v>
      </c>
      <c r="EX261">
        <v>0</v>
      </c>
      <c r="FQ261">
        <v>0</v>
      </c>
      <c r="FR261">
        <f t="shared" si="239"/>
        <v>0</v>
      </c>
      <c r="FS261">
        <v>0</v>
      </c>
      <c r="FU261" t="s">
        <v>33</v>
      </c>
      <c r="FX261">
        <v>142</v>
      </c>
      <c r="FY261">
        <v>80.75</v>
      </c>
      <c r="GA261" t="s">
        <v>3</v>
      </c>
      <c r="GD261">
        <v>1</v>
      </c>
      <c r="GF261">
        <v>583639727</v>
      </c>
      <c r="GG261">
        <v>2</v>
      </c>
      <c r="GH261">
        <v>0</v>
      </c>
      <c r="GI261">
        <v>0</v>
      </c>
      <c r="GJ261">
        <v>0</v>
      </c>
      <c r="GK261">
        <v>0</v>
      </c>
      <c r="GL261">
        <f t="shared" si="240"/>
        <v>0</v>
      </c>
      <c r="GM261">
        <f t="shared" si="241"/>
        <v>31004</v>
      </c>
      <c r="GN261">
        <f t="shared" si="242"/>
        <v>31004</v>
      </c>
      <c r="GO261">
        <f t="shared" si="243"/>
        <v>0</v>
      </c>
      <c r="GP261">
        <f t="shared" si="244"/>
        <v>0</v>
      </c>
      <c r="GR261">
        <v>0</v>
      </c>
      <c r="GS261">
        <v>0</v>
      </c>
      <c r="GT261">
        <v>0</v>
      </c>
      <c r="GU261" t="s">
        <v>3</v>
      </c>
      <c r="GV261">
        <f t="shared" si="245"/>
        <v>0</v>
      </c>
      <c r="GW261">
        <v>1</v>
      </c>
      <c r="GX261">
        <f t="shared" si="246"/>
        <v>0</v>
      </c>
      <c r="HA261">
        <v>0</v>
      </c>
      <c r="HB261">
        <v>0</v>
      </c>
      <c r="HC261">
        <f t="shared" si="247"/>
        <v>0</v>
      </c>
      <c r="IK261">
        <v>0</v>
      </c>
    </row>
    <row r="263" spans="1:245" x14ac:dyDescent="0.2">
      <c r="A263" s="2">
        <v>51</v>
      </c>
      <c r="B263" s="2">
        <f>B249</f>
        <v>1</v>
      </c>
      <c r="C263" s="2">
        <f>A249</f>
        <v>5</v>
      </c>
      <c r="D263" s="2">
        <f>ROW(A249)</f>
        <v>249</v>
      </c>
      <c r="E263" s="2"/>
      <c r="F263" s="2" t="str">
        <f>IF(F249&lt;&gt;"",F249,"")</f>
        <v>Новый подраздел</v>
      </c>
      <c r="G263" s="2" t="str">
        <f>IF(G249&lt;&gt;"",G249,"")</f>
        <v>Устройство тротуаров и пешеходных дорожек из брусчатки</v>
      </c>
      <c r="H263" s="2">
        <v>0</v>
      </c>
      <c r="I263" s="2"/>
      <c r="J263" s="2"/>
      <c r="K263" s="2"/>
      <c r="L263" s="2"/>
      <c r="M263" s="2"/>
      <c r="N263" s="2"/>
      <c r="O263" s="2">
        <f t="shared" ref="O263:T263" si="248">ROUND(AB263,0)</f>
        <v>51210</v>
      </c>
      <c r="P263" s="2">
        <f t="shared" si="248"/>
        <v>45075</v>
      </c>
      <c r="Q263" s="2">
        <f t="shared" si="248"/>
        <v>4714</v>
      </c>
      <c r="R263" s="2">
        <f t="shared" si="248"/>
        <v>265</v>
      </c>
      <c r="S263" s="2">
        <f t="shared" si="248"/>
        <v>1421</v>
      </c>
      <c r="T263" s="2">
        <f t="shared" si="248"/>
        <v>0</v>
      </c>
      <c r="U263" s="2">
        <f>AH263</f>
        <v>214.29893729999998</v>
      </c>
      <c r="V263" s="2">
        <f>AI263</f>
        <v>20.290108750000002</v>
      </c>
      <c r="W263" s="2">
        <f>ROUND(AJ263,0)</f>
        <v>0</v>
      </c>
      <c r="X263" s="2">
        <f>ROUND(AK263,0)</f>
        <v>2394</v>
      </c>
      <c r="Y263" s="2">
        <f>ROUND(AL263,0)</f>
        <v>1365</v>
      </c>
      <c r="Z263" s="2"/>
      <c r="AA263" s="2"/>
      <c r="AB263" s="2">
        <f>ROUND(SUMIF(AA253:AA261,"=50210945",O253:O261),0)</f>
        <v>51210</v>
      </c>
      <c r="AC263" s="2">
        <f>ROUND(SUMIF(AA253:AA261,"=50210945",P253:P261),0)</f>
        <v>45075</v>
      </c>
      <c r="AD263" s="2">
        <f>ROUND(SUMIF(AA253:AA261,"=50210945",Q253:Q261),0)</f>
        <v>4714</v>
      </c>
      <c r="AE263" s="2">
        <f>ROUND(SUMIF(AA253:AA261,"=50210945",R253:R261),0)</f>
        <v>265</v>
      </c>
      <c r="AF263" s="2">
        <f>ROUND(SUMIF(AA253:AA261,"=50210945",S253:S261),0)</f>
        <v>1421</v>
      </c>
      <c r="AG263" s="2">
        <f>ROUND(SUMIF(AA253:AA261,"=50210945",T253:T261),0)</f>
        <v>0</v>
      </c>
      <c r="AH263" s="2">
        <f>SUMIF(AA253:AA261,"=50210945",U253:U261)</f>
        <v>214.29893729999998</v>
      </c>
      <c r="AI263" s="2">
        <f>SUMIF(AA253:AA261,"=50210945",V253:V261)</f>
        <v>20.290108750000002</v>
      </c>
      <c r="AJ263" s="2">
        <f>ROUND(SUMIF(AA253:AA261,"=50210945",W253:W261),0)</f>
        <v>0</v>
      </c>
      <c r="AK263" s="2">
        <f>ROUND(SUMIF(AA253:AA261,"=50210945",X253:X261),0)</f>
        <v>2394</v>
      </c>
      <c r="AL263" s="2">
        <f>ROUND(SUMIF(AA253:AA261,"=50210945",Y253:Y261),0)</f>
        <v>1365</v>
      </c>
      <c r="AM263" s="2"/>
      <c r="AN263" s="2"/>
      <c r="AO263" s="2">
        <f t="shared" ref="AO263:BD263" si="249">ROUND(BX263,0)</f>
        <v>0</v>
      </c>
      <c r="AP263" s="2">
        <f t="shared" si="249"/>
        <v>0</v>
      </c>
      <c r="AQ263" s="2">
        <f t="shared" si="249"/>
        <v>0</v>
      </c>
      <c r="AR263" s="2">
        <f t="shared" si="249"/>
        <v>54969</v>
      </c>
      <c r="AS263" s="2">
        <f t="shared" si="249"/>
        <v>54969</v>
      </c>
      <c r="AT263" s="2">
        <f t="shared" si="249"/>
        <v>0</v>
      </c>
      <c r="AU263" s="2">
        <f t="shared" si="249"/>
        <v>0</v>
      </c>
      <c r="AV263" s="2">
        <f t="shared" si="249"/>
        <v>45075</v>
      </c>
      <c r="AW263" s="2">
        <f t="shared" si="249"/>
        <v>45075</v>
      </c>
      <c r="AX263" s="2">
        <f t="shared" si="249"/>
        <v>0</v>
      </c>
      <c r="AY263" s="2">
        <f t="shared" si="249"/>
        <v>45075</v>
      </c>
      <c r="AZ263" s="2">
        <f t="shared" si="249"/>
        <v>0</v>
      </c>
      <c r="BA263" s="2">
        <f t="shared" si="249"/>
        <v>0</v>
      </c>
      <c r="BB263" s="2">
        <f t="shared" si="249"/>
        <v>0</v>
      </c>
      <c r="BC263" s="2">
        <f t="shared" si="249"/>
        <v>0</v>
      </c>
      <c r="BD263" s="2">
        <f t="shared" si="249"/>
        <v>0</v>
      </c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>
        <f>ROUND(SUMIF(AA253:AA261,"=50210945",FQ253:FQ261),0)</f>
        <v>0</v>
      </c>
      <c r="BY263" s="2">
        <f>ROUND(SUMIF(AA253:AA261,"=50210945",FR253:FR261),0)</f>
        <v>0</v>
      </c>
      <c r="BZ263" s="2">
        <f>ROUND(SUMIF(AA253:AA261,"=50210945",GL253:GL261),0)</f>
        <v>0</v>
      </c>
      <c r="CA263" s="2">
        <f>ROUND(SUMIF(AA253:AA261,"=50210945",GM253:GM261),0)</f>
        <v>54969</v>
      </c>
      <c r="CB263" s="2">
        <f>ROUND(SUMIF(AA253:AA261,"=50210945",GN253:GN261),0)</f>
        <v>54969</v>
      </c>
      <c r="CC263" s="2">
        <f>ROUND(SUMIF(AA253:AA261,"=50210945",GO253:GO261),0)</f>
        <v>0</v>
      </c>
      <c r="CD263" s="2">
        <f>ROUND(SUMIF(AA253:AA261,"=50210945",GP253:GP261),0)</f>
        <v>0</v>
      </c>
      <c r="CE263" s="2">
        <f>AC263-BX263</f>
        <v>45075</v>
      </c>
      <c r="CF263" s="2">
        <f>AC263-BY263</f>
        <v>45075</v>
      </c>
      <c r="CG263" s="2">
        <f>BX263-BZ263</f>
        <v>0</v>
      </c>
      <c r="CH263" s="2">
        <f>AC263-BX263-BY263+BZ263</f>
        <v>45075</v>
      </c>
      <c r="CI263" s="2">
        <f>BY263-BZ263</f>
        <v>0</v>
      </c>
      <c r="CJ263" s="2">
        <f>ROUND(SUMIF(AA253:AA261,"=50210945",GX253:GX261),0)</f>
        <v>0</v>
      </c>
      <c r="CK263" s="2">
        <f>ROUND(SUMIF(AA253:AA261,"=50210945",GY253:GY261),0)</f>
        <v>0</v>
      </c>
      <c r="CL263" s="2">
        <f>ROUND(SUMIF(AA253:AA261,"=50210945",GZ253:GZ261),0)</f>
        <v>0</v>
      </c>
      <c r="CM263" s="2">
        <f>ROUND(SUMIF(AA253:AA261,"=50210945",HD253:HD261),0)</f>
        <v>0</v>
      </c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  <c r="DW263" s="3"/>
      <c r="DX263" s="3"/>
      <c r="DY263" s="3"/>
      <c r="DZ263" s="3"/>
      <c r="EA263" s="3"/>
      <c r="EB263" s="3"/>
      <c r="EC263" s="3"/>
      <c r="ED263" s="3"/>
      <c r="EE263" s="3"/>
      <c r="EF263" s="3"/>
      <c r="EG263" s="3"/>
      <c r="EH263" s="3"/>
      <c r="EI263" s="3"/>
      <c r="EJ263" s="3"/>
      <c r="EK263" s="3"/>
      <c r="EL263" s="3"/>
      <c r="EM263" s="3"/>
      <c r="EN263" s="3"/>
      <c r="EO263" s="3"/>
      <c r="EP263" s="3"/>
      <c r="EQ263" s="3"/>
      <c r="ER263" s="3"/>
      <c r="ES263" s="3"/>
      <c r="ET263" s="3"/>
      <c r="EU263" s="3"/>
      <c r="EV263" s="3"/>
      <c r="EW263" s="3"/>
      <c r="EX263" s="3"/>
      <c r="EY263" s="3"/>
      <c r="EZ263" s="3"/>
      <c r="FA263" s="3"/>
      <c r="FB263" s="3"/>
      <c r="FC263" s="3"/>
      <c r="FD263" s="3"/>
      <c r="FE263" s="3"/>
      <c r="FF263" s="3"/>
      <c r="FG263" s="3"/>
      <c r="FH263" s="3"/>
      <c r="FI263" s="3"/>
      <c r="FJ263" s="3"/>
      <c r="FK263" s="3"/>
      <c r="FL263" s="3"/>
      <c r="FM263" s="3"/>
      <c r="FN263" s="3"/>
      <c r="FO263" s="3"/>
      <c r="FP263" s="3"/>
      <c r="FQ263" s="3"/>
      <c r="FR263" s="3"/>
      <c r="FS263" s="3"/>
      <c r="FT263" s="3"/>
      <c r="FU263" s="3"/>
      <c r="FV263" s="3"/>
      <c r="FW263" s="3"/>
      <c r="FX263" s="3"/>
      <c r="FY263" s="3"/>
      <c r="FZ263" s="3"/>
      <c r="GA263" s="3"/>
      <c r="GB263" s="3"/>
      <c r="GC263" s="3"/>
      <c r="GD263" s="3"/>
      <c r="GE263" s="3"/>
      <c r="GF263" s="3"/>
      <c r="GG263" s="3"/>
      <c r="GH263" s="3"/>
      <c r="GI263" s="3"/>
      <c r="GJ263" s="3"/>
      <c r="GK263" s="3"/>
      <c r="GL263" s="3"/>
      <c r="GM263" s="3"/>
      <c r="GN263" s="3"/>
      <c r="GO263" s="3"/>
      <c r="GP263" s="3"/>
      <c r="GQ263" s="3"/>
      <c r="GR263" s="3"/>
      <c r="GS263" s="3"/>
      <c r="GT263" s="3"/>
      <c r="GU263" s="3"/>
      <c r="GV263" s="3"/>
      <c r="GW263" s="3"/>
      <c r="GX263" s="3">
        <v>0</v>
      </c>
    </row>
    <row r="265" spans="1:245" x14ac:dyDescent="0.2">
      <c r="A265" s="4">
        <v>50</v>
      </c>
      <c r="B265" s="4">
        <v>0</v>
      </c>
      <c r="C265" s="4">
        <v>0</v>
      </c>
      <c r="D265" s="4">
        <v>1</v>
      </c>
      <c r="E265" s="4">
        <v>201</v>
      </c>
      <c r="F265" s="4">
        <f>ROUND(Source!O263,O265)</f>
        <v>51210</v>
      </c>
      <c r="G265" s="4" t="s">
        <v>89</v>
      </c>
      <c r="H265" s="4" t="s">
        <v>90</v>
      </c>
      <c r="I265" s="4"/>
      <c r="J265" s="4"/>
      <c r="K265" s="4">
        <v>201</v>
      </c>
      <c r="L265" s="4">
        <v>1</v>
      </c>
      <c r="M265" s="4">
        <v>3</v>
      </c>
      <c r="N265" s="4" t="s">
        <v>3</v>
      </c>
      <c r="O265" s="4">
        <v>0</v>
      </c>
      <c r="P265" s="4"/>
      <c r="Q265" s="4"/>
      <c r="R265" s="4"/>
      <c r="S265" s="4"/>
      <c r="T265" s="4"/>
      <c r="U265" s="4"/>
      <c r="V265" s="4"/>
      <c r="W265" s="4"/>
    </row>
    <row r="266" spans="1:245" x14ac:dyDescent="0.2">
      <c r="A266" s="4">
        <v>50</v>
      </c>
      <c r="B266" s="4">
        <v>0</v>
      </c>
      <c r="C266" s="4">
        <v>0</v>
      </c>
      <c r="D266" s="4">
        <v>1</v>
      </c>
      <c r="E266" s="4">
        <v>202</v>
      </c>
      <c r="F266" s="4">
        <f>ROUND(Source!P263,O266)</f>
        <v>45075</v>
      </c>
      <c r="G266" s="4" t="s">
        <v>91</v>
      </c>
      <c r="H266" s="4" t="s">
        <v>92</v>
      </c>
      <c r="I266" s="4"/>
      <c r="J266" s="4"/>
      <c r="K266" s="4">
        <v>202</v>
      </c>
      <c r="L266" s="4">
        <v>2</v>
      </c>
      <c r="M266" s="4">
        <v>3</v>
      </c>
      <c r="N266" s="4" t="s">
        <v>3</v>
      </c>
      <c r="O266" s="4">
        <v>0</v>
      </c>
      <c r="P266" s="4"/>
      <c r="Q266" s="4"/>
      <c r="R266" s="4"/>
      <c r="S266" s="4"/>
      <c r="T266" s="4"/>
      <c r="U266" s="4"/>
      <c r="V266" s="4"/>
      <c r="W266" s="4"/>
    </row>
    <row r="267" spans="1:245" x14ac:dyDescent="0.2">
      <c r="A267" s="4">
        <v>50</v>
      </c>
      <c r="B267" s="4">
        <v>0</v>
      </c>
      <c r="C267" s="4">
        <v>0</v>
      </c>
      <c r="D267" s="4">
        <v>1</v>
      </c>
      <c r="E267" s="4">
        <v>222</v>
      </c>
      <c r="F267" s="4">
        <f>ROUND(Source!AO263,O267)</f>
        <v>0</v>
      </c>
      <c r="G267" s="4" t="s">
        <v>93</v>
      </c>
      <c r="H267" s="4" t="s">
        <v>94</v>
      </c>
      <c r="I267" s="4"/>
      <c r="J267" s="4"/>
      <c r="K267" s="4">
        <v>222</v>
      </c>
      <c r="L267" s="4">
        <v>3</v>
      </c>
      <c r="M267" s="4">
        <v>3</v>
      </c>
      <c r="N267" s="4" t="s">
        <v>3</v>
      </c>
      <c r="O267" s="4">
        <v>0</v>
      </c>
      <c r="P267" s="4"/>
      <c r="Q267" s="4"/>
      <c r="R267" s="4"/>
      <c r="S267" s="4"/>
      <c r="T267" s="4"/>
      <c r="U267" s="4"/>
      <c r="V267" s="4"/>
      <c r="W267" s="4"/>
    </row>
    <row r="268" spans="1:245" x14ac:dyDescent="0.2">
      <c r="A268" s="4">
        <v>50</v>
      </c>
      <c r="B268" s="4">
        <v>0</v>
      </c>
      <c r="C268" s="4">
        <v>0</v>
      </c>
      <c r="D268" s="4">
        <v>1</v>
      </c>
      <c r="E268" s="4">
        <v>225</v>
      </c>
      <c r="F268" s="4">
        <f>ROUND(Source!AV263,O268)</f>
        <v>45075</v>
      </c>
      <c r="G268" s="4" t="s">
        <v>95</v>
      </c>
      <c r="H268" s="4" t="s">
        <v>96</v>
      </c>
      <c r="I268" s="4"/>
      <c r="J268" s="4"/>
      <c r="K268" s="4">
        <v>225</v>
      </c>
      <c r="L268" s="4">
        <v>4</v>
      </c>
      <c r="M268" s="4">
        <v>3</v>
      </c>
      <c r="N268" s="4" t="s">
        <v>3</v>
      </c>
      <c r="O268" s="4">
        <v>0</v>
      </c>
      <c r="P268" s="4"/>
      <c r="Q268" s="4"/>
      <c r="R268" s="4"/>
      <c r="S268" s="4"/>
      <c r="T268" s="4"/>
      <c r="U268" s="4"/>
      <c r="V268" s="4"/>
      <c r="W268" s="4"/>
    </row>
    <row r="269" spans="1:245" x14ac:dyDescent="0.2">
      <c r="A269" s="4">
        <v>50</v>
      </c>
      <c r="B269" s="4">
        <v>0</v>
      </c>
      <c r="C269" s="4">
        <v>0</v>
      </c>
      <c r="D269" s="4">
        <v>1</v>
      </c>
      <c r="E269" s="4">
        <v>226</v>
      </c>
      <c r="F269" s="4">
        <f>ROUND(Source!AW263,O269)</f>
        <v>45075</v>
      </c>
      <c r="G269" s="4" t="s">
        <v>97</v>
      </c>
      <c r="H269" s="4" t="s">
        <v>98</v>
      </c>
      <c r="I269" s="4"/>
      <c r="J269" s="4"/>
      <c r="K269" s="4">
        <v>226</v>
      </c>
      <c r="L269" s="4">
        <v>5</v>
      </c>
      <c r="M269" s="4">
        <v>3</v>
      </c>
      <c r="N269" s="4" t="s">
        <v>3</v>
      </c>
      <c r="O269" s="4">
        <v>0</v>
      </c>
      <c r="P269" s="4"/>
      <c r="Q269" s="4"/>
      <c r="R269" s="4"/>
      <c r="S269" s="4"/>
      <c r="T269" s="4"/>
      <c r="U269" s="4"/>
      <c r="V269" s="4"/>
      <c r="W269" s="4"/>
    </row>
    <row r="270" spans="1:245" x14ac:dyDescent="0.2">
      <c r="A270" s="4">
        <v>50</v>
      </c>
      <c r="B270" s="4">
        <v>0</v>
      </c>
      <c r="C270" s="4">
        <v>0</v>
      </c>
      <c r="D270" s="4">
        <v>1</v>
      </c>
      <c r="E270" s="4">
        <v>227</v>
      </c>
      <c r="F270" s="4">
        <f>ROUND(Source!AX263,O270)</f>
        <v>0</v>
      </c>
      <c r="G270" s="4" t="s">
        <v>99</v>
      </c>
      <c r="H270" s="4" t="s">
        <v>100</v>
      </c>
      <c r="I270" s="4"/>
      <c r="J270" s="4"/>
      <c r="K270" s="4">
        <v>227</v>
      </c>
      <c r="L270" s="4">
        <v>6</v>
      </c>
      <c r="M270" s="4">
        <v>3</v>
      </c>
      <c r="N270" s="4" t="s">
        <v>3</v>
      </c>
      <c r="O270" s="4">
        <v>0</v>
      </c>
      <c r="P270" s="4"/>
      <c r="Q270" s="4"/>
      <c r="R270" s="4"/>
      <c r="S270" s="4"/>
      <c r="T270" s="4"/>
      <c r="U270" s="4"/>
      <c r="V270" s="4"/>
      <c r="W270" s="4"/>
    </row>
    <row r="271" spans="1:245" x14ac:dyDescent="0.2">
      <c r="A271" s="4">
        <v>50</v>
      </c>
      <c r="B271" s="4">
        <v>0</v>
      </c>
      <c r="C271" s="4">
        <v>0</v>
      </c>
      <c r="D271" s="4">
        <v>1</v>
      </c>
      <c r="E271" s="4">
        <v>228</v>
      </c>
      <c r="F271" s="4">
        <f>ROUND(Source!AY263,O271)</f>
        <v>45075</v>
      </c>
      <c r="G271" s="4" t="s">
        <v>101</v>
      </c>
      <c r="H271" s="4" t="s">
        <v>102</v>
      </c>
      <c r="I271" s="4"/>
      <c r="J271" s="4"/>
      <c r="K271" s="4">
        <v>228</v>
      </c>
      <c r="L271" s="4">
        <v>7</v>
      </c>
      <c r="M271" s="4">
        <v>3</v>
      </c>
      <c r="N271" s="4" t="s">
        <v>3</v>
      </c>
      <c r="O271" s="4">
        <v>0</v>
      </c>
      <c r="P271" s="4"/>
      <c r="Q271" s="4"/>
      <c r="R271" s="4"/>
      <c r="S271" s="4"/>
      <c r="T271" s="4"/>
      <c r="U271" s="4"/>
      <c r="V271" s="4"/>
      <c r="W271" s="4"/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216</v>
      </c>
      <c r="F272" s="4">
        <f>ROUND(Source!AP263,O272)</f>
        <v>0</v>
      </c>
      <c r="G272" s="4" t="s">
        <v>103</v>
      </c>
      <c r="H272" s="4" t="s">
        <v>104</v>
      </c>
      <c r="I272" s="4"/>
      <c r="J272" s="4"/>
      <c r="K272" s="4">
        <v>216</v>
      </c>
      <c r="L272" s="4">
        <v>8</v>
      </c>
      <c r="M272" s="4">
        <v>3</v>
      </c>
      <c r="N272" s="4" t="s">
        <v>3</v>
      </c>
      <c r="O272" s="4">
        <v>0</v>
      </c>
      <c r="P272" s="4"/>
      <c r="Q272" s="4"/>
      <c r="R272" s="4"/>
      <c r="S272" s="4"/>
      <c r="T272" s="4"/>
      <c r="U272" s="4"/>
      <c r="V272" s="4"/>
      <c r="W272" s="4"/>
    </row>
    <row r="273" spans="1:23" x14ac:dyDescent="0.2">
      <c r="A273" s="4">
        <v>50</v>
      </c>
      <c r="B273" s="4">
        <v>0</v>
      </c>
      <c r="C273" s="4">
        <v>0</v>
      </c>
      <c r="D273" s="4">
        <v>1</v>
      </c>
      <c r="E273" s="4">
        <v>223</v>
      </c>
      <c r="F273" s="4">
        <f>ROUND(Source!AQ263,O273)</f>
        <v>0</v>
      </c>
      <c r="G273" s="4" t="s">
        <v>105</v>
      </c>
      <c r="H273" s="4" t="s">
        <v>106</v>
      </c>
      <c r="I273" s="4"/>
      <c r="J273" s="4"/>
      <c r="K273" s="4">
        <v>223</v>
      </c>
      <c r="L273" s="4">
        <v>9</v>
      </c>
      <c r="M273" s="4">
        <v>3</v>
      </c>
      <c r="N273" s="4" t="s">
        <v>3</v>
      </c>
      <c r="O273" s="4">
        <v>0</v>
      </c>
      <c r="P273" s="4"/>
      <c r="Q273" s="4"/>
      <c r="R273" s="4"/>
      <c r="S273" s="4"/>
      <c r="T273" s="4"/>
      <c r="U273" s="4"/>
      <c r="V273" s="4"/>
      <c r="W273" s="4"/>
    </row>
    <row r="274" spans="1:23" x14ac:dyDescent="0.2">
      <c r="A274" s="4">
        <v>50</v>
      </c>
      <c r="B274" s="4">
        <v>0</v>
      </c>
      <c r="C274" s="4">
        <v>0</v>
      </c>
      <c r="D274" s="4">
        <v>1</v>
      </c>
      <c r="E274" s="4">
        <v>229</v>
      </c>
      <c r="F274" s="4">
        <f>ROUND(Source!AZ263,O274)</f>
        <v>0</v>
      </c>
      <c r="G274" s="4" t="s">
        <v>107</v>
      </c>
      <c r="H274" s="4" t="s">
        <v>108</v>
      </c>
      <c r="I274" s="4"/>
      <c r="J274" s="4"/>
      <c r="K274" s="4">
        <v>229</v>
      </c>
      <c r="L274" s="4">
        <v>10</v>
      </c>
      <c r="M274" s="4">
        <v>3</v>
      </c>
      <c r="N274" s="4" t="s">
        <v>3</v>
      </c>
      <c r="O274" s="4">
        <v>0</v>
      </c>
      <c r="P274" s="4"/>
      <c r="Q274" s="4"/>
      <c r="R274" s="4"/>
      <c r="S274" s="4"/>
      <c r="T274" s="4"/>
      <c r="U274" s="4"/>
      <c r="V274" s="4"/>
      <c r="W274" s="4"/>
    </row>
    <row r="275" spans="1:23" x14ac:dyDescent="0.2">
      <c r="A275" s="4">
        <v>50</v>
      </c>
      <c r="B275" s="4">
        <v>0</v>
      </c>
      <c r="C275" s="4">
        <v>0</v>
      </c>
      <c r="D275" s="4">
        <v>1</v>
      </c>
      <c r="E275" s="4">
        <v>203</v>
      </c>
      <c r="F275" s="4">
        <f>ROUND(Source!Q263,O275)</f>
        <v>4714</v>
      </c>
      <c r="G275" s="4" t="s">
        <v>109</v>
      </c>
      <c r="H275" s="4" t="s">
        <v>110</v>
      </c>
      <c r="I275" s="4"/>
      <c r="J275" s="4"/>
      <c r="K275" s="4">
        <v>203</v>
      </c>
      <c r="L275" s="4">
        <v>11</v>
      </c>
      <c r="M275" s="4">
        <v>3</v>
      </c>
      <c r="N275" s="4" t="s">
        <v>3</v>
      </c>
      <c r="O275" s="4">
        <v>0</v>
      </c>
      <c r="P275" s="4"/>
      <c r="Q275" s="4"/>
      <c r="R275" s="4"/>
      <c r="S275" s="4"/>
      <c r="T275" s="4"/>
      <c r="U275" s="4"/>
      <c r="V275" s="4"/>
      <c r="W275" s="4"/>
    </row>
    <row r="276" spans="1:23" x14ac:dyDescent="0.2">
      <c r="A276" s="4">
        <v>50</v>
      </c>
      <c r="B276" s="4">
        <v>0</v>
      </c>
      <c r="C276" s="4">
        <v>0</v>
      </c>
      <c r="D276" s="4">
        <v>1</v>
      </c>
      <c r="E276" s="4">
        <v>231</v>
      </c>
      <c r="F276" s="4">
        <f>ROUND(Source!BB263,O276)</f>
        <v>0</v>
      </c>
      <c r="G276" s="4" t="s">
        <v>111</v>
      </c>
      <c r="H276" s="4" t="s">
        <v>112</v>
      </c>
      <c r="I276" s="4"/>
      <c r="J276" s="4"/>
      <c r="K276" s="4">
        <v>231</v>
      </c>
      <c r="L276" s="4">
        <v>12</v>
      </c>
      <c r="M276" s="4">
        <v>3</v>
      </c>
      <c r="N276" s="4" t="s">
        <v>3</v>
      </c>
      <c r="O276" s="4">
        <v>0</v>
      </c>
      <c r="P276" s="4"/>
      <c r="Q276" s="4"/>
      <c r="R276" s="4"/>
      <c r="S276" s="4"/>
      <c r="T276" s="4"/>
      <c r="U276" s="4"/>
      <c r="V276" s="4"/>
      <c r="W276" s="4"/>
    </row>
    <row r="277" spans="1:23" x14ac:dyDescent="0.2">
      <c r="A277" s="4">
        <v>50</v>
      </c>
      <c r="B277" s="4">
        <v>0</v>
      </c>
      <c r="C277" s="4">
        <v>0</v>
      </c>
      <c r="D277" s="4">
        <v>1</v>
      </c>
      <c r="E277" s="4">
        <v>204</v>
      </c>
      <c r="F277" s="4">
        <f>ROUND(Source!R263,O277)</f>
        <v>265</v>
      </c>
      <c r="G277" s="4" t="s">
        <v>113</v>
      </c>
      <c r="H277" s="4" t="s">
        <v>114</v>
      </c>
      <c r="I277" s="4"/>
      <c r="J277" s="4"/>
      <c r="K277" s="4">
        <v>204</v>
      </c>
      <c r="L277" s="4">
        <v>13</v>
      </c>
      <c r="M277" s="4">
        <v>3</v>
      </c>
      <c r="N277" s="4" t="s">
        <v>3</v>
      </c>
      <c r="O277" s="4">
        <v>0</v>
      </c>
      <c r="P277" s="4"/>
      <c r="Q277" s="4"/>
      <c r="R277" s="4"/>
      <c r="S277" s="4"/>
      <c r="T277" s="4"/>
      <c r="U277" s="4"/>
      <c r="V277" s="4"/>
      <c r="W277" s="4"/>
    </row>
    <row r="278" spans="1:23" x14ac:dyDescent="0.2">
      <c r="A278" s="4">
        <v>50</v>
      </c>
      <c r="B278" s="4">
        <v>0</v>
      </c>
      <c r="C278" s="4">
        <v>0</v>
      </c>
      <c r="D278" s="4">
        <v>1</v>
      </c>
      <c r="E278" s="4">
        <v>205</v>
      </c>
      <c r="F278" s="4">
        <f>ROUND(Source!S263,O278)</f>
        <v>1421</v>
      </c>
      <c r="G278" s="4" t="s">
        <v>115</v>
      </c>
      <c r="H278" s="4" t="s">
        <v>116</v>
      </c>
      <c r="I278" s="4"/>
      <c r="J278" s="4"/>
      <c r="K278" s="4">
        <v>205</v>
      </c>
      <c r="L278" s="4">
        <v>14</v>
      </c>
      <c r="M278" s="4">
        <v>3</v>
      </c>
      <c r="N278" s="4" t="s">
        <v>3</v>
      </c>
      <c r="O278" s="4">
        <v>0</v>
      </c>
      <c r="P278" s="4"/>
      <c r="Q278" s="4"/>
      <c r="R278" s="4"/>
      <c r="S278" s="4"/>
      <c r="T278" s="4"/>
      <c r="U278" s="4"/>
      <c r="V278" s="4"/>
      <c r="W278" s="4"/>
    </row>
    <row r="279" spans="1:23" x14ac:dyDescent="0.2">
      <c r="A279" s="4">
        <v>50</v>
      </c>
      <c r="B279" s="4">
        <v>0</v>
      </c>
      <c r="C279" s="4">
        <v>0</v>
      </c>
      <c r="D279" s="4">
        <v>1</v>
      </c>
      <c r="E279" s="4">
        <v>232</v>
      </c>
      <c r="F279" s="4">
        <f>ROUND(Source!BC263,O279)</f>
        <v>0</v>
      </c>
      <c r="G279" s="4" t="s">
        <v>117</v>
      </c>
      <c r="H279" s="4" t="s">
        <v>118</v>
      </c>
      <c r="I279" s="4"/>
      <c r="J279" s="4"/>
      <c r="K279" s="4">
        <v>232</v>
      </c>
      <c r="L279" s="4">
        <v>15</v>
      </c>
      <c r="M279" s="4">
        <v>3</v>
      </c>
      <c r="N279" s="4" t="s">
        <v>3</v>
      </c>
      <c r="O279" s="4">
        <v>0</v>
      </c>
      <c r="P279" s="4"/>
      <c r="Q279" s="4"/>
      <c r="R279" s="4"/>
      <c r="S279" s="4"/>
      <c r="T279" s="4"/>
      <c r="U279" s="4"/>
      <c r="V279" s="4"/>
      <c r="W279" s="4"/>
    </row>
    <row r="280" spans="1:23" x14ac:dyDescent="0.2">
      <c r="A280" s="4">
        <v>50</v>
      </c>
      <c r="B280" s="4">
        <v>0</v>
      </c>
      <c r="C280" s="4">
        <v>0</v>
      </c>
      <c r="D280" s="4">
        <v>1</v>
      </c>
      <c r="E280" s="4">
        <v>214</v>
      </c>
      <c r="F280" s="4">
        <f>ROUND(Source!AS263,O280)</f>
        <v>54969</v>
      </c>
      <c r="G280" s="4" t="s">
        <v>119</v>
      </c>
      <c r="H280" s="4" t="s">
        <v>120</v>
      </c>
      <c r="I280" s="4"/>
      <c r="J280" s="4"/>
      <c r="K280" s="4">
        <v>214</v>
      </c>
      <c r="L280" s="4">
        <v>16</v>
      </c>
      <c r="M280" s="4">
        <v>3</v>
      </c>
      <c r="N280" s="4" t="s">
        <v>3</v>
      </c>
      <c r="O280" s="4">
        <v>0</v>
      </c>
      <c r="P280" s="4"/>
      <c r="Q280" s="4"/>
      <c r="R280" s="4"/>
      <c r="S280" s="4"/>
      <c r="T280" s="4"/>
      <c r="U280" s="4"/>
      <c r="V280" s="4"/>
      <c r="W280" s="4"/>
    </row>
    <row r="281" spans="1:23" x14ac:dyDescent="0.2">
      <c r="A281" s="4">
        <v>50</v>
      </c>
      <c r="B281" s="4">
        <v>0</v>
      </c>
      <c r="C281" s="4">
        <v>0</v>
      </c>
      <c r="D281" s="4">
        <v>1</v>
      </c>
      <c r="E281" s="4">
        <v>215</v>
      </c>
      <c r="F281" s="4">
        <f>ROUND(Source!AT263,O281)</f>
        <v>0</v>
      </c>
      <c r="G281" s="4" t="s">
        <v>121</v>
      </c>
      <c r="H281" s="4" t="s">
        <v>122</v>
      </c>
      <c r="I281" s="4"/>
      <c r="J281" s="4"/>
      <c r="K281" s="4">
        <v>215</v>
      </c>
      <c r="L281" s="4">
        <v>17</v>
      </c>
      <c r="M281" s="4">
        <v>3</v>
      </c>
      <c r="N281" s="4" t="s">
        <v>3</v>
      </c>
      <c r="O281" s="4">
        <v>0</v>
      </c>
      <c r="P281" s="4"/>
      <c r="Q281" s="4"/>
      <c r="R281" s="4"/>
      <c r="S281" s="4"/>
      <c r="T281" s="4"/>
      <c r="U281" s="4"/>
      <c r="V281" s="4"/>
      <c r="W281" s="4"/>
    </row>
    <row r="282" spans="1:23" x14ac:dyDescent="0.2">
      <c r="A282" s="4">
        <v>50</v>
      </c>
      <c r="B282" s="4">
        <v>0</v>
      </c>
      <c r="C282" s="4">
        <v>0</v>
      </c>
      <c r="D282" s="4">
        <v>1</v>
      </c>
      <c r="E282" s="4">
        <v>217</v>
      </c>
      <c r="F282" s="4">
        <f>ROUND(Source!AU263,O282)</f>
        <v>0</v>
      </c>
      <c r="G282" s="4" t="s">
        <v>123</v>
      </c>
      <c r="H282" s="4" t="s">
        <v>124</v>
      </c>
      <c r="I282" s="4"/>
      <c r="J282" s="4"/>
      <c r="K282" s="4">
        <v>217</v>
      </c>
      <c r="L282" s="4">
        <v>18</v>
      </c>
      <c r="M282" s="4">
        <v>3</v>
      </c>
      <c r="N282" s="4" t="s">
        <v>3</v>
      </c>
      <c r="O282" s="4">
        <v>0</v>
      </c>
      <c r="P282" s="4"/>
      <c r="Q282" s="4"/>
      <c r="R282" s="4"/>
      <c r="S282" s="4"/>
      <c r="T282" s="4"/>
      <c r="U282" s="4"/>
      <c r="V282" s="4"/>
      <c r="W282" s="4"/>
    </row>
    <row r="283" spans="1:23" x14ac:dyDescent="0.2">
      <c r="A283" s="4">
        <v>50</v>
      </c>
      <c r="B283" s="4">
        <v>0</v>
      </c>
      <c r="C283" s="4">
        <v>0</v>
      </c>
      <c r="D283" s="4">
        <v>1</v>
      </c>
      <c r="E283" s="4">
        <v>230</v>
      </c>
      <c r="F283" s="4">
        <f>ROUND(Source!BA263,O283)</f>
        <v>0</v>
      </c>
      <c r="G283" s="4" t="s">
        <v>125</v>
      </c>
      <c r="H283" s="4" t="s">
        <v>126</v>
      </c>
      <c r="I283" s="4"/>
      <c r="J283" s="4"/>
      <c r="K283" s="4">
        <v>230</v>
      </c>
      <c r="L283" s="4">
        <v>19</v>
      </c>
      <c r="M283" s="4">
        <v>3</v>
      </c>
      <c r="N283" s="4" t="s">
        <v>3</v>
      </c>
      <c r="O283" s="4">
        <v>0</v>
      </c>
      <c r="P283" s="4"/>
      <c r="Q283" s="4"/>
      <c r="R283" s="4"/>
      <c r="S283" s="4"/>
      <c r="T283" s="4"/>
      <c r="U283" s="4"/>
      <c r="V283" s="4"/>
      <c r="W283" s="4"/>
    </row>
    <row r="284" spans="1:23" x14ac:dyDescent="0.2">
      <c r="A284" s="4">
        <v>50</v>
      </c>
      <c r="B284" s="4">
        <v>0</v>
      </c>
      <c r="C284" s="4">
        <v>0</v>
      </c>
      <c r="D284" s="4">
        <v>1</v>
      </c>
      <c r="E284" s="4">
        <v>206</v>
      </c>
      <c r="F284" s="4">
        <f>ROUND(Source!T263,O284)</f>
        <v>0</v>
      </c>
      <c r="G284" s="4" t="s">
        <v>127</v>
      </c>
      <c r="H284" s="4" t="s">
        <v>128</v>
      </c>
      <c r="I284" s="4"/>
      <c r="J284" s="4"/>
      <c r="K284" s="4">
        <v>206</v>
      </c>
      <c r="L284" s="4">
        <v>20</v>
      </c>
      <c r="M284" s="4">
        <v>3</v>
      </c>
      <c r="N284" s="4" t="s">
        <v>3</v>
      </c>
      <c r="O284" s="4">
        <v>0</v>
      </c>
      <c r="P284" s="4"/>
      <c r="Q284" s="4"/>
      <c r="R284" s="4"/>
      <c r="S284" s="4"/>
      <c r="T284" s="4"/>
      <c r="U284" s="4"/>
      <c r="V284" s="4"/>
      <c r="W284" s="4"/>
    </row>
    <row r="285" spans="1:23" x14ac:dyDescent="0.2">
      <c r="A285" s="4">
        <v>50</v>
      </c>
      <c r="B285" s="4">
        <v>0</v>
      </c>
      <c r="C285" s="4">
        <v>0</v>
      </c>
      <c r="D285" s="4">
        <v>1</v>
      </c>
      <c r="E285" s="4">
        <v>207</v>
      </c>
      <c r="F285" s="4">
        <f>Source!U263</f>
        <v>214.29893729999998</v>
      </c>
      <c r="G285" s="4" t="s">
        <v>129</v>
      </c>
      <c r="H285" s="4" t="s">
        <v>130</v>
      </c>
      <c r="I285" s="4"/>
      <c r="J285" s="4"/>
      <c r="K285" s="4">
        <v>207</v>
      </c>
      <c r="L285" s="4">
        <v>21</v>
      </c>
      <c r="M285" s="4">
        <v>3</v>
      </c>
      <c r="N285" s="4" t="s">
        <v>3</v>
      </c>
      <c r="O285" s="4">
        <v>-1</v>
      </c>
      <c r="P285" s="4"/>
      <c r="Q285" s="4"/>
      <c r="R285" s="4"/>
      <c r="S285" s="4"/>
      <c r="T285" s="4"/>
      <c r="U285" s="4"/>
      <c r="V285" s="4"/>
      <c r="W285" s="4"/>
    </row>
    <row r="286" spans="1:23" x14ac:dyDescent="0.2">
      <c r="A286" s="4">
        <v>50</v>
      </c>
      <c r="B286" s="4">
        <v>0</v>
      </c>
      <c r="C286" s="4">
        <v>0</v>
      </c>
      <c r="D286" s="4">
        <v>1</v>
      </c>
      <c r="E286" s="4">
        <v>208</v>
      </c>
      <c r="F286" s="4">
        <f>Source!V263</f>
        <v>20.290108750000002</v>
      </c>
      <c r="G286" s="4" t="s">
        <v>131</v>
      </c>
      <c r="H286" s="4" t="s">
        <v>132</v>
      </c>
      <c r="I286" s="4"/>
      <c r="J286" s="4"/>
      <c r="K286" s="4">
        <v>208</v>
      </c>
      <c r="L286" s="4">
        <v>22</v>
      </c>
      <c r="M286" s="4">
        <v>3</v>
      </c>
      <c r="N286" s="4" t="s">
        <v>3</v>
      </c>
      <c r="O286" s="4">
        <v>-1</v>
      </c>
      <c r="P286" s="4"/>
      <c r="Q286" s="4"/>
      <c r="R286" s="4"/>
      <c r="S286" s="4"/>
      <c r="T286" s="4"/>
      <c r="U286" s="4"/>
      <c r="V286" s="4"/>
      <c r="W286" s="4"/>
    </row>
    <row r="287" spans="1:23" x14ac:dyDescent="0.2">
      <c r="A287" s="4">
        <v>50</v>
      </c>
      <c r="B287" s="4">
        <v>0</v>
      </c>
      <c r="C287" s="4">
        <v>0</v>
      </c>
      <c r="D287" s="4">
        <v>1</v>
      </c>
      <c r="E287" s="4">
        <v>209</v>
      </c>
      <c r="F287" s="4">
        <f>ROUND(Source!W263,O287)</f>
        <v>0</v>
      </c>
      <c r="G287" s="4" t="s">
        <v>133</v>
      </c>
      <c r="H287" s="4" t="s">
        <v>134</v>
      </c>
      <c r="I287" s="4"/>
      <c r="J287" s="4"/>
      <c r="K287" s="4">
        <v>209</v>
      </c>
      <c r="L287" s="4">
        <v>23</v>
      </c>
      <c r="M287" s="4">
        <v>3</v>
      </c>
      <c r="N287" s="4" t="s">
        <v>3</v>
      </c>
      <c r="O287" s="4">
        <v>0</v>
      </c>
      <c r="P287" s="4"/>
      <c r="Q287" s="4"/>
      <c r="R287" s="4"/>
      <c r="S287" s="4"/>
      <c r="T287" s="4"/>
      <c r="U287" s="4"/>
      <c r="V287" s="4"/>
      <c r="W287" s="4"/>
    </row>
    <row r="288" spans="1:23" x14ac:dyDescent="0.2">
      <c r="A288" s="4">
        <v>50</v>
      </c>
      <c r="B288" s="4">
        <v>0</v>
      </c>
      <c r="C288" s="4">
        <v>0</v>
      </c>
      <c r="D288" s="4">
        <v>1</v>
      </c>
      <c r="E288" s="4">
        <v>233</v>
      </c>
      <c r="F288" s="4">
        <f>ROUND(Source!BD263,O288)</f>
        <v>0</v>
      </c>
      <c r="G288" s="4" t="s">
        <v>135</v>
      </c>
      <c r="H288" s="4" t="s">
        <v>136</v>
      </c>
      <c r="I288" s="4"/>
      <c r="J288" s="4"/>
      <c r="K288" s="4">
        <v>233</v>
      </c>
      <c r="L288" s="4">
        <v>24</v>
      </c>
      <c r="M288" s="4">
        <v>3</v>
      </c>
      <c r="N288" s="4" t="s">
        <v>3</v>
      </c>
      <c r="O288" s="4">
        <v>0</v>
      </c>
      <c r="P288" s="4"/>
      <c r="Q288" s="4"/>
      <c r="R288" s="4"/>
      <c r="S288" s="4"/>
      <c r="T288" s="4"/>
      <c r="U288" s="4"/>
      <c r="V288" s="4"/>
      <c r="W288" s="4"/>
    </row>
    <row r="289" spans="1:245" x14ac:dyDescent="0.2">
      <c r="A289" s="4">
        <v>50</v>
      </c>
      <c r="B289" s="4">
        <v>0</v>
      </c>
      <c r="C289" s="4">
        <v>0</v>
      </c>
      <c r="D289" s="4">
        <v>1</v>
      </c>
      <c r="E289" s="4">
        <v>210</v>
      </c>
      <c r="F289" s="4">
        <f>ROUND(Source!X263,O289)</f>
        <v>2394</v>
      </c>
      <c r="G289" s="4" t="s">
        <v>137</v>
      </c>
      <c r="H289" s="4" t="s">
        <v>138</v>
      </c>
      <c r="I289" s="4"/>
      <c r="J289" s="4"/>
      <c r="K289" s="4">
        <v>210</v>
      </c>
      <c r="L289" s="4">
        <v>25</v>
      </c>
      <c r="M289" s="4">
        <v>3</v>
      </c>
      <c r="N289" s="4" t="s">
        <v>3</v>
      </c>
      <c r="O289" s="4">
        <v>0</v>
      </c>
      <c r="P289" s="4"/>
      <c r="Q289" s="4"/>
      <c r="R289" s="4"/>
      <c r="S289" s="4"/>
      <c r="T289" s="4"/>
      <c r="U289" s="4"/>
      <c r="V289" s="4"/>
      <c r="W289" s="4"/>
    </row>
    <row r="290" spans="1:245" x14ac:dyDescent="0.2">
      <c r="A290" s="4">
        <v>50</v>
      </c>
      <c r="B290" s="4">
        <v>0</v>
      </c>
      <c r="C290" s="4">
        <v>0</v>
      </c>
      <c r="D290" s="4">
        <v>1</v>
      </c>
      <c r="E290" s="4">
        <v>211</v>
      </c>
      <c r="F290" s="4">
        <f>ROUND(Source!Y263,O290)</f>
        <v>1365</v>
      </c>
      <c r="G290" s="4" t="s">
        <v>139</v>
      </c>
      <c r="H290" s="4" t="s">
        <v>140</v>
      </c>
      <c r="I290" s="4"/>
      <c r="J290" s="4"/>
      <c r="K290" s="4">
        <v>211</v>
      </c>
      <c r="L290" s="4">
        <v>26</v>
      </c>
      <c r="M290" s="4">
        <v>3</v>
      </c>
      <c r="N290" s="4" t="s">
        <v>3</v>
      </c>
      <c r="O290" s="4">
        <v>0</v>
      </c>
      <c r="P290" s="4"/>
      <c r="Q290" s="4"/>
      <c r="R290" s="4"/>
      <c r="S290" s="4"/>
      <c r="T290" s="4"/>
      <c r="U290" s="4"/>
      <c r="V290" s="4"/>
      <c r="W290" s="4"/>
    </row>
    <row r="291" spans="1:245" x14ac:dyDescent="0.2">
      <c r="A291" s="4">
        <v>50</v>
      </c>
      <c r="B291" s="4">
        <v>0</v>
      </c>
      <c r="C291" s="4">
        <v>0</v>
      </c>
      <c r="D291" s="4">
        <v>1</v>
      </c>
      <c r="E291" s="4">
        <v>224</v>
      </c>
      <c r="F291" s="4">
        <f>ROUND(Source!AR263,O291)</f>
        <v>54969</v>
      </c>
      <c r="G291" s="4" t="s">
        <v>141</v>
      </c>
      <c r="H291" s="4" t="s">
        <v>142</v>
      </c>
      <c r="I291" s="4"/>
      <c r="J291" s="4"/>
      <c r="K291" s="4">
        <v>224</v>
      </c>
      <c r="L291" s="4">
        <v>27</v>
      </c>
      <c r="M291" s="4">
        <v>3</v>
      </c>
      <c r="N291" s="4" t="s">
        <v>3</v>
      </c>
      <c r="O291" s="4">
        <v>0</v>
      </c>
      <c r="P291" s="4"/>
      <c r="Q291" s="4"/>
      <c r="R291" s="4"/>
      <c r="S291" s="4"/>
      <c r="T291" s="4"/>
      <c r="U291" s="4"/>
      <c r="V291" s="4"/>
      <c r="W291" s="4"/>
    </row>
    <row r="293" spans="1:245" x14ac:dyDescent="0.2">
      <c r="A293" s="1">
        <v>5</v>
      </c>
      <c r="B293" s="1">
        <v>1</v>
      </c>
      <c r="C293" s="1"/>
      <c r="D293" s="1">
        <f>ROW(A302)</f>
        <v>302</v>
      </c>
      <c r="E293" s="1"/>
      <c r="F293" s="1" t="s">
        <v>15</v>
      </c>
      <c r="G293" s="1" t="s">
        <v>281</v>
      </c>
      <c r="H293" s="1" t="s">
        <v>3</v>
      </c>
      <c r="I293" s="1">
        <v>0</v>
      </c>
      <c r="J293" s="1"/>
      <c r="K293" s="1">
        <v>0</v>
      </c>
      <c r="L293" s="1"/>
      <c r="M293" s="1"/>
      <c r="N293" s="1"/>
      <c r="O293" s="1"/>
      <c r="P293" s="1"/>
      <c r="Q293" s="1"/>
      <c r="R293" s="1"/>
      <c r="S293" s="1"/>
      <c r="T293" s="1"/>
      <c r="U293" s="1" t="s">
        <v>3</v>
      </c>
      <c r="V293" s="1">
        <v>0</v>
      </c>
      <c r="W293" s="1"/>
      <c r="X293" s="1"/>
      <c r="Y293" s="1"/>
      <c r="Z293" s="1"/>
      <c r="AA293" s="1"/>
      <c r="AB293" s="1" t="s">
        <v>3</v>
      </c>
      <c r="AC293" s="1" t="s">
        <v>3</v>
      </c>
      <c r="AD293" s="1" t="s">
        <v>3</v>
      </c>
      <c r="AE293" s="1" t="s">
        <v>3</v>
      </c>
      <c r="AF293" s="1" t="s">
        <v>3</v>
      </c>
      <c r="AG293" s="1" t="s">
        <v>3</v>
      </c>
      <c r="AH293" s="1"/>
      <c r="AI293" s="1"/>
      <c r="AJ293" s="1"/>
      <c r="AK293" s="1"/>
      <c r="AL293" s="1"/>
      <c r="AM293" s="1"/>
      <c r="AN293" s="1"/>
      <c r="AO293" s="1"/>
      <c r="AP293" s="1" t="s">
        <v>3</v>
      </c>
      <c r="AQ293" s="1" t="s">
        <v>3</v>
      </c>
      <c r="AR293" s="1" t="s">
        <v>3</v>
      </c>
      <c r="AS293" s="1"/>
      <c r="AT293" s="1"/>
      <c r="AU293" s="1"/>
      <c r="AV293" s="1"/>
      <c r="AW293" s="1"/>
      <c r="AX293" s="1"/>
      <c r="AY293" s="1"/>
      <c r="AZ293" s="1" t="s">
        <v>3</v>
      </c>
      <c r="BA293" s="1"/>
      <c r="BB293" s="1" t="s">
        <v>3</v>
      </c>
      <c r="BC293" s="1" t="s">
        <v>3</v>
      </c>
      <c r="BD293" s="1" t="s">
        <v>11</v>
      </c>
      <c r="BE293" s="1" t="s">
        <v>11</v>
      </c>
      <c r="BF293" s="1" t="s">
        <v>12</v>
      </c>
      <c r="BG293" s="1" t="s">
        <v>3</v>
      </c>
      <c r="BH293" s="1" t="s">
        <v>12</v>
      </c>
      <c r="BI293" s="1" t="s">
        <v>11</v>
      </c>
      <c r="BJ293" s="1" t="s">
        <v>3</v>
      </c>
      <c r="BK293" s="1" t="s">
        <v>3</v>
      </c>
      <c r="BL293" s="1" t="s">
        <v>3</v>
      </c>
      <c r="BM293" s="1" t="s">
        <v>3</v>
      </c>
      <c r="BN293" s="1" t="s">
        <v>11</v>
      </c>
      <c r="BO293" s="1" t="s">
        <v>3</v>
      </c>
      <c r="BP293" s="1" t="s">
        <v>3</v>
      </c>
      <c r="BQ293" s="1"/>
      <c r="BR293" s="1"/>
      <c r="BS293" s="1"/>
      <c r="BT293" s="1"/>
      <c r="BU293" s="1"/>
      <c r="BV293" s="1"/>
      <c r="BW293" s="1"/>
      <c r="BX293" s="1">
        <v>0</v>
      </c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>
        <v>0</v>
      </c>
    </row>
    <row r="295" spans="1:245" x14ac:dyDescent="0.2">
      <c r="A295" s="2">
        <v>52</v>
      </c>
      <c r="B295" s="2">
        <f t="shared" ref="B295:G295" si="250">B302</f>
        <v>1</v>
      </c>
      <c r="C295" s="2">
        <f t="shared" si="250"/>
        <v>5</v>
      </c>
      <c r="D295" s="2">
        <f t="shared" si="250"/>
        <v>293</v>
      </c>
      <c r="E295" s="2">
        <f t="shared" si="250"/>
        <v>0</v>
      </c>
      <c r="F295" s="2" t="str">
        <f t="shared" si="250"/>
        <v>Новый подраздел</v>
      </c>
      <c r="G295" s="2" t="str">
        <f t="shared" si="250"/>
        <v>Установка урн</v>
      </c>
      <c r="H295" s="2"/>
      <c r="I295" s="2"/>
      <c r="J295" s="2"/>
      <c r="K295" s="2"/>
      <c r="L295" s="2"/>
      <c r="M295" s="2"/>
      <c r="N295" s="2"/>
      <c r="O295" s="2">
        <f t="shared" ref="O295:AT295" si="251">O302</f>
        <v>5192</v>
      </c>
      <c r="P295" s="2">
        <f t="shared" si="251"/>
        <v>5176</v>
      </c>
      <c r="Q295" s="2">
        <f t="shared" si="251"/>
        <v>4</v>
      </c>
      <c r="R295" s="2">
        <f t="shared" si="251"/>
        <v>1</v>
      </c>
      <c r="S295" s="2">
        <f t="shared" si="251"/>
        <v>12</v>
      </c>
      <c r="T295" s="2">
        <f t="shared" si="251"/>
        <v>0</v>
      </c>
      <c r="U295" s="2">
        <f t="shared" si="251"/>
        <v>1.8733499999999998</v>
      </c>
      <c r="V295" s="2">
        <f t="shared" si="251"/>
        <v>4.4999999999999998E-2</v>
      </c>
      <c r="W295" s="2">
        <f t="shared" si="251"/>
        <v>0</v>
      </c>
      <c r="X295" s="2">
        <f t="shared" si="251"/>
        <v>11</v>
      </c>
      <c r="Y295" s="2">
        <f t="shared" si="251"/>
        <v>5</v>
      </c>
      <c r="Z295" s="2">
        <f t="shared" si="251"/>
        <v>0</v>
      </c>
      <c r="AA295" s="2">
        <f t="shared" si="251"/>
        <v>0</v>
      </c>
      <c r="AB295" s="2">
        <f t="shared" si="251"/>
        <v>5192</v>
      </c>
      <c r="AC295" s="2">
        <f t="shared" si="251"/>
        <v>5176</v>
      </c>
      <c r="AD295" s="2">
        <f t="shared" si="251"/>
        <v>4</v>
      </c>
      <c r="AE295" s="2">
        <f t="shared" si="251"/>
        <v>1</v>
      </c>
      <c r="AF295" s="2">
        <f t="shared" si="251"/>
        <v>12</v>
      </c>
      <c r="AG295" s="2">
        <f t="shared" si="251"/>
        <v>0</v>
      </c>
      <c r="AH295" s="2">
        <f t="shared" si="251"/>
        <v>1.8733499999999998</v>
      </c>
      <c r="AI295" s="2">
        <f t="shared" si="251"/>
        <v>4.4999999999999998E-2</v>
      </c>
      <c r="AJ295" s="2">
        <f t="shared" si="251"/>
        <v>0</v>
      </c>
      <c r="AK295" s="2">
        <f t="shared" si="251"/>
        <v>11</v>
      </c>
      <c r="AL295" s="2">
        <f t="shared" si="251"/>
        <v>5</v>
      </c>
      <c r="AM295" s="2">
        <f t="shared" si="251"/>
        <v>0</v>
      </c>
      <c r="AN295" s="2">
        <f t="shared" si="251"/>
        <v>0</v>
      </c>
      <c r="AO295" s="2">
        <f t="shared" si="251"/>
        <v>0</v>
      </c>
      <c r="AP295" s="2">
        <f t="shared" si="251"/>
        <v>0</v>
      </c>
      <c r="AQ295" s="2">
        <f t="shared" si="251"/>
        <v>0</v>
      </c>
      <c r="AR295" s="2">
        <f t="shared" si="251"/>
        <v>5208</v>
      </c>
      <c r="AS295" s="2">
        <f t="shared" si="251"/>
        <v>5208</v>
      </c>
      <c r="AT295" s="2">
        <f t="shared" si="251"/>
        <v>0</v>
      </c>
      <c r="AU295" s="2">
        <f t="shared" ref="AU295:BZ295" si="252">AU302</f>
        <v>0</v>
      </c>
      <c r="AV295" s="2">
        <f t="shared" si="252"/>
        <v>5176</v>
      </c>
      <c r="AW295" s="2">
        <f t="shared" si="252"/>
        <v>5176</v>
      </c>
      <c r="AX295" s="2">
        <f t="shared" si="252"/>
        <v>0</v>
      </c>
      <c r="AY295" s="2">
        <f t="shared" si="252"/>
        <v>5176</v>
      </c>
      <c r="AZ295" s="2">
        <f t="shared" si="252"/>
        <v>0</v>
      </c>
      <c r="BA295" s="2">
        <f t="shared" si="252"/>
        <v>0</v>
      </c>
      <c r="BB295" s="2">
        <f t="shared" si="252"/>
        <v>0</v>
      </c>
      <c r="BC295" s="2">
        <f t="shared" si="252"/>
        <v>0</v>
      </c>
      <c r="BD295" s="2">
        <f t="shared" si="252"/>
        <v>0</v>
      </c>
      <c r="BE295" s="2">
        <f t="shared" si="252"/>
        <v>0</v>
      </c>
      <c r="BF295" s="2">
        <f t="shared" si="252"/>
        <v>0</v>
      </c>
      <c r="BG295" s="2">
        <f t="shared" si="252"/>
        <v>0</v>
      </c>
      <c r="BH295" s="2">
        <f t="shared" si="252"/>
        <v>0</v>
      </c>
      <c r="BI295" s="2">
        <f t="shared" si="252"/>
        <v>0</v>
      </c>
      <c r="BJ295" s="2">
        <f t="shared" si="252"/>
        <v>0</v>
      </c>
      <c r="BK295" s="2">
        <f t="shared" si="252"/>
        <v>0</v>
      </c>
      <c r="BL295" s="2">
        <f t="shared" si="252"/>
        <v>0</v>
      </c>
      <c r="BM295" s="2">
        <f t="shared" si="252"/>
        <v>0</v>
      </c>
      <c r="BN295" s="2">
        <f t="shared" si="252"/>
        <v>0</v>
      </c>
      <c r="BO295" s="2">
        <f t="shared" si="252"/>
        <v>0</v>
      </c>
      <c r="BP295" s="2">
        <f t="shared" si="252"/>
        <v>0</v>
      </c>
      <c r="BQ295" s="2">
        <f t="shared" si="252"/>
        <v>0</v>
      </c>
      <c r="BR295" s="2">
        <f t="shared" si="252"/>
        <v>0</v>
      </c>
      <c r="BS295" s="2">
        <f t="shared" si="252"/>
        <v>0</v>
      </c>
      <c r="BT295" s="2">
        <f t="shared" si="252"/>
        <v>0</v>
      </c>
      <c r="BU295" s="2">
        <f t="shared" si="252"/>
        <v>0</v>
      </c>
      <c r="BV295" s="2">
        <f t="shared" si="252"/>
        <v>0</v>
      </c>
      <c r="BW295" s="2">
        <f t="shared" si="252"/>
        <v>0</v>
      </c>
      <c r="BX295" s="2">
        <f t="shared" si="252"/>
        <v>0</v>
      </c>
      <c r="BY295" s="2">
        <f t="shared" si="252"/>
        <v>0</v>
      </c>
      <c r="BZ295" s="2">
        <f t="shared" si="252"/>
        <v>0</v>
      </c>
      <c r="CA295" s="2">
        <f t="shared" ref="CA295:DF295" si="253">CA302</f>
        <v>5208</v>
      </c>
      <c r="CB295" s="2">
        <f t="shared" si="253"/>
        <v>5208</v>
      </c>
      <c r="CC295" s="2">
        <f t="shared" si="253"/>
        <v>0</v>
      </c>
      <c r="CD295" s="2">
        <f t="shared" si="253"/>
        <v>0</v>
      </c>
      <c r="CE295" s="2">
        <f t="shared" si="253"/>
        <v>5176</v>
      </c>
      <c r="CF295" s="2">
        <f t="shared" si="253"/>
        <v>5176</v>
      </c>
      <c r="CG295" s="2">
        <f t="shared" si="253"/>
        <v>0</v>
      </c>
      <c r="CH295" s="2">
        <f t="shared" si="253"/>
        <v>5176</v>
      </c>
      <c r="CI295" s="2">
        <f t="shared" si="253"/>
        <v>0</v>
      </c>
      <c r="CJ295" s="2">
        <f t="shared" si="253"/>
        <v>0</v>
      </c>
      <c r="CK295" s="2">
        <f t="shared" si="253"/>
        <v>0</v>
      </c>
      <c r="CL295" s="2">
        <f t="shared" si="253"/>
        <v>0</v>
      </c>
      <c r="CM295" s="2">
        <f t="shared" si="253"/>
        <v>0</v>
      </c>
      <c r="CN295" s="2">
        <f t="shared" si="253"/>
        <v>0</v>
      </c>
      <c r="CO295" s="2">
        <f t="shared" si="253"/>
        <v>0</v>
      </c>
      <c r="CP295" s="2">
        <f t="shared" si="253"/>
        <v>0</v>
      </c>
      <c r="CQ295" s="2">
        <f t="shared" si="253"/>
        <v>0</v>
      </c>
      <c r="CR295" s="2">
        <f t="shared" si="253"/>
        <v>0</v>
      </c>
      <c r="CS295" s="2">
        <f t="shared" si="253"/>
        <v>0</v>
      </c>
      <c r="CT295" s="2">
        <f t="shared" si="253"/>
        <v>0</v>
      </c>
      <c r="CU295" s="2">
        <f t="shared" si="253"/>
        <v>0</v>
      </c>
      <c r="CV295" s="2">
        <f t="shared" si="253"/>
        <v>0</v>
      </c>
      <c r="CW295" s="2">
        <f t="shared" si="253"/>
        <v>0</v>
      </c>
      <c r="CX295" s="2">
        <f t="shared" si="253"/>
        <v>0</v>
      </c>
      <c r="CY295" s="2">
        <f t="shared" si="253"/>
        <v>0</v>
      </c>
      <c r="CZ295" s="2">
        <f t="shared" si="253"/>
        <v>0</v>
      </c>
      <c r="DA295" s="2">
        <f t="shared" si="253"/>
        <v>0</v>
      </c>
      <c r="DB295" s="2">
        <f t="shared" si="253"/>
        <v>0</v>
      </c>
      <c r="DC295" s="2">
        <f t="shared" si="253"/>
        <v>0</v>
      </c>
      <c r="DD295" s="2">
        <f t="shared" si="253"/>
        <v>0</v>
      </c>
      <c r="DE295" s="2">
        <f t="shared" si="253"/>
        <v>0</v>
      </c>
      <c r="DF295" s="2">
        <f t="shared" si="253"/>
        <v>0</v>
      </c>
      <c r="DG295" s="3">
        <f t="shared" ref="DG295:EL295" si="254">DG302</f>
        <v>0</v>
      </c>
      <c r="DH295" s="3">
        <f t="shared" si="254"/>
        <v>0</v>
      </c>
      <c r="DI295" s="3">
        <f t="shared" si="254"/>
        <v>0</v>
      </c>
      <c r="DJ295" s="3">
        <f t="shared" si="254"/>
        <v>0</v>
      </c>
      <c r="DK295" s="3">
        <f t="shared" si="254"/>
        <v>0</v>
      </c>
      <c r="DL295" s="3">
        <f t="shared" si="254"/>
        <v>0</v>
      </c>
      <c r="DM295" s="3">
        <f t="shared" si="254"/>
        <v>0</v>
      </c>
      <c r="DN295" s="3">
        <f t="shared" si="254"/>
        <v>0</v>
      </c>
      <c r="DO295" s="3">
        <f t="shared" si="254"/>
        <v>0</v>
      </c>
      <c r="DP295" s="3">
        <f t="shared" si="254"/>
        <v>0</v>
      </c>
      <c r="DQ295" s="3">
        <f t="shared" si="254"/>
        <v>0</v>
      </c>
      <c r="DR295" s="3">
        <f t="shared" si="254"/>
        <v>0</v>
      </c>
      <c r="DS295" s="3">
        <f t="shared" si="254"/>
        <v>0</v>
      </c>
      <c r="DT295" s="3">
        <f t="shared" si="254"/>
        <v>0</v>
      </c>
      <c r="DU295" s="3">
        <f t="shared" si="254"/>
        <v>0</v>
      </c>
      <c r="DV295" s="3">
        <f t="shared" si="254"/>
        <v>0</v>
      </c>
      <c r="DW295" s="3">
        <f t="shared" si="254"/>
        <v>0</v>
      </c>
      <c r="DX295" s="3">
        <f t="shared" si="254"/>
        <v>0</v>
      </c>
      <c r="DY295" s="3">
        <f t="shared" si="254"/>
        <v>0</v>
      </c>
      <c r="DZ295" s="3">
        <f t="shared" si="254"/>
        <v>0</v>
      </c>
      <c r="EA295" s="3">
        <f t="shared" si="254"/>
        <v>0</v>
      </c>
      <c r="EB295" s="3">
        <f t="shared" si="254"/>
        <v>0</v>
      </c>
      <c r="EC295" s="3">
        <f t="shared" si="254"/>
        <v>0</v>
      </c>
      <c r="ED295" s="3">
        <f t="shared" si="254"/>
        <v>0</v>
      </c>
      <c r="EE295" s="3">
        <f t="shared" si="254"/>
        <v>0</v>
      </c>
      <c r="EF295" s="3">
        <f t="shared" si="254"/>
        <v>0</v>
      </c>
      <c r="EG295" s="3">
        <f t="shared" si="254"/>
        <v>0</v>
      </c>
      <c r="EH295" s="3">
        <f t="shared" si="254"/>
        <v>0</v>
      </c>
      <c r="EI295" s="3">
        <f t="shared" si="254"/>
        <v>0</v>
      </c>
      <c r="EJ295" s="3">
        <f t="shared" si="254"/>
        <v>0</v>
      </c>
      <c r="EK295" s="3">
        <f t="shared" si="254"/>
        <v>0</v>
      </c>
      <c r="EL295" s="3">
        <f t="shared" si="254"/>
        <v>0</v>
      </c>
      <c r="EM295" s="3">
        <f t="shared" ref="EM295:FR295" si="255">EM302</f>
        <v>0</v>
      </c>
      <c r="EN295" s="3">
        <f t="shared" si="255"/>
        <v>0</v>
      </c>
      <c r="EO295" s="3">
        <f t="shared" si="255"/>
        <v>0</v>
      </c>
      <c r="EP295" s="3">
        <f t="shared" si="255"/>
        <v>0</v>
      </c>
      <c r="EQ295" s="3">
        <f t="shared" si="255"/>
        <v>0</v>
      </c>
      <c r="ER295" s="3">
        <f t="shared" si="255"/>
        <v>0</v>
      </c>
      <c r="ES295" s="3">
        <f t="shared" si="255"/>
        <v>0</v>
      </c>
      <c r="ET295" s="3">
        <f t="shared" si="255"/>
        <v>0</v>
      </c>
      <c r="EU295" s="3">
        <f t="shared" si="255"/>
        <v>0</v>
      </c>
      <c r="EV295" s="3">
        <f t="shared" si="255"/>
        <v>0</v>
      </c>
      <c r="EW295" s="3">
        <f t="shared" si="255"/>
        <v>0</v>
      </c>
      <c r="EX295" s="3">
        <f t="shared" si="255"/>
        <v>0</v>
      </c>
      <c r="EY295" s="3">
        <f t="shared" si="255"/>
        <v>0</v>
      </c>
      <c r="EZ295" s="3">
        <f t="shared" si="255"/>
        <v>0</v>
      </c>
      <c r="FA295" s="3">
        <f t="shared" si="255"/>
        <v>0</v>
      </c>
      <c r="FB295" s="3">
        <f t="shared" si="255"/>
        <v>0</v>
      </c>
      <c r="FC295" s="3">
        <f t="shared" si="255"/>
        <v>0</v>
      </c>
      <c r="FD295" s="3">
        <f t="shared" si="255"/>
        <v>0</v>
      </c>
      <c r="FE295" s="3">
        <f t="shared" si="255"/>
        <v>0</v>
      </c>
      <c r="FF295" s="3">
        <f t="shared" si="255"/>
        <v>0</v>
      </c>
      <c r="FG295" s="3">
        <f t="shared" si="255"/>
        <v>0</v>
      </c>
      <c r="FH295" s="3">
        <f t="shared" si="255"/>
        <v>0</v>
      </c>
      <c r="FI295" s="3">
        <f t="shared" si="255"/>
        <v>0</v>
      </c>
      <c r="FJ295" s="3">
        <f t="shared" si="255"/>
        <v>0</v>
      </c>
      <c r="FK295" s="3">
        <f t="shared" si="255"/>
        <v>0</v>
      </c>
      <c r="FL295" s="3">
        <f t="shared" si="255"/>
        <v>0</v>
      </c>
      <c r="FM295" s="3">
        <f t="shared" si="255"/>
        <v>0</v>
      </c>
      <c r="FN295" s="3">
        <f t="shared" si="255"/>
        <v>0</v>
      </c>
      <c r="FO295" s="3">
        <f t="shared" si="255"/>
        <v>0</v>
      </c>
      <c r="FP295" s="3">
        <f t="shared" si="255"/>
        <v>0</v>
      </c>
      <c r="FQ295" s="3">
        <f t="shared" si="255"/>
        <v>0</v>
      </c>
      <c r="FR295" s="3">
        <f t="shared" si="255"/>
        <v>0</v>
      </c>
      <c r="FS295" s="3">
        <f t="shared" ref="FS295:GX295" si="256">FS302</f>
        <v>0</v>
      </c>
      <c r="FT295" s="3">
        <f t="shared" si="256"/>
        <v>0</v>
      </c>
      <c r="FU295" s="3">
        <f t="shared" si="256"/>
        <v>0</v>
      </c>
      <c r="FV295" s="3">
        <f t="shared" si="256"/>
        <v>0</v>
      </c>
      <c r="FW295" s="3">
        <f t="shared" si="256"/>
        <v>0</v>
      </c>
      <c r="FX295" s="3">
        <f t="shared" si="256"/>
        <v>0</v>
      </c>
      <c r="FY295" s="3">
        <f t="shared" si="256"/>
        <v>0</v>
      </c>
      <c r="FZ295" s="3">
        <f t="shared" si="256"/>
        <v>0</v>
      </c>
      <c r="GA295" s="3">
        <f t="shared" si="256"/>
        <v>0</v>
      </c>
      <c r="GB295" s="3">
        <f t="shared" si="256"/>
        <v>0</v>
      </c>
      <c r="GC295" s="3">
        <f t="shared" si="256"/>
        <v>0</v>
      </c>
      <c r="GD295" s="3">
        <f t="shared" si="256"/>
        <v>0</v>
      </c>
      <c r="GE295" s="3">
        <f t="shared" si="256"/>
        <v>0</v>
      </c>
      <c r="GF295" s="3">
        <f t="shared" si="256"/>
        <v>0</v>
      </c>
      <c r="GG295" s="3">
        <f t="shared" si="256"/>
        <v>0</v>
      </c>
      <c r="GH295" s="3">
        <f t="shared" si="256"/>
        <v>0</v>
      </c>
      <c r="GI295" s="3">
        <f t="shared" si="256"/>
        <v>0</v>
      </c>
      <c r="GJ295" s="3">
        <f t="shared" si="256"/>
        <v>0</v>
      </c>
      <c r="GK295" s="3">
        <f t="shared" si="256"/>
        <v>0</v>
      </c>
      <c r="GL295" s="3">
        <f t="shared" si="256"/>
        <v>0</v>
      </c>
      <c r="GM295" s="3">
        <f t="shared" si="256"/>
        <v>0</v>
      </c>
      <c r="GN295" s="3">
        <f t="shared" si="256"/>
        <v>0</v>
      </c>
      <c r="GO295" s="3">
        <f t="shared" si="256"/>
        <v>0</v>
      </c>
      <c r="GP295" s="3">
        <f t="shared" si="256"/>
        <v>0</v>
      </c>
      <c r="GQ295" s="3">
        <f t="shared" si="256"/>
        <v>0</v>
      </c>
      <c r="GR295" s="3">
        <f t="shared" si="256"/>
        <v>0</v>
      </c>
      <c r="GS295" s="3">
        <f t="shared" si="256"/>
        <v>0</v>
      </c>
      <c r="GT295" s="3">
        <f t="shared" si="256"/>
        <v>0</v>
      </c>
      <c r="GU295" s="3">
        <f t="shared" si="256"/>
        <v>0</v>
      </c>
      <c r="GV295" s="3">
        <f t="shared" si="256"/>
        <v>0</v>
      </c>
      <c r="GW295" s="3">
        <f t="shared" si="256"/>
        <v>0</v>
      </c>
      <c r="GX295" s="3">
        <f t="shared" si="256"/>
        <v>0</v>
      </c>
    </row>
    <row r="297" spans="1:245" x14ac:dyDescent="0.2">
      <c r="A297">
        <v>17</v>
      </c>
      <c r="B297">
        <v>1</v>
      </c>
      <c r="C297">
        <f>ROW(SmtRes!A166)</f>
        <v>166</v>
      </c>
      <c r="D297">
        <f>ROW(EtalonRes!A162)</f>
        <v>162</v>
      </c>
      <c r="E297" t="s">
        <v>282</v>
      </c>
      <c r="F297" t="s">
        <v>283</v>
      </c>
      <c r="G297" t="s">
        <v>284</v>
      </c>
      <c r="H297" t="s">
        <v>207</v>
      </c>
      <c r="I297">
        <f>ROUND((I298*2*0.2*0.2*0.7)/100,4)</f>
        <v>3.8999999999999998E-3</v>
      </c>
      <c r="J297">
        <v>0</v>
      </c>
      <c r="O297">
        <f>ROUND(CP297,0)</f>
        <v>8</v>
      </c>
      <c r="P297">
        <f>ROUND(CQ297*I297,0)</f>
        <v>0</v>
      </c>
      <c r="Q297">
        <f>ROUND(CR297*I297,0)</f>
        <v>0</v>
      </c>
      <c r="R297">
        <f>ROUND(CS297*I297,0)</f>
        <v>0</v>
      </c>
      <c r="S297">
        <f>ROUND(CT297*I297,0)</f>
        <v>8</v>
      </c>
      <c r="T297">
        <f>ROUND(CU297*I297,0)</f>
        <v>0</v>
      </c>
      <c r="U297">
        <f>CV297*I297</f>
        <v>1.2558</v>
      </c>
      <c r="V297">
        <f>CW297*I297</f>
        <v>0</v>
      </c>
      <c r="W297">
        <f>ROUND(CX297*I297,0)</f>
        <v>0</v>
      </c>
      <c r="X297">
        <f t="shared" ref="X297:Y300" si="257">ROUND(CY297,0)</f>
        <v>6</v>
      </c>
      <c r="Y297">
        <f t="shared" si="257"/>
        <v>3</v>
      </c>
      <c r="AA297">
        <v>50210945</v>
      </c>
      <c r="AB297">
        <f>ROUND((AC297+AD297+AF297),1)</f>
        <v>2044.7</v>
      </c>
      <c r="AC297">
        <f>ROUND((ES297),1)</f>
        <v>0</v>
      </c>
      <c r="AD297">
        <f>ROUND(((((ET297*1.25))-((EU297*1.25)))+AE297),1)</f>
        <v>0</v>
      </c>
      <c r="AE297">
        <f>ROUND(((EU297*1.25)),1)</f>
        <v>0</v>
      </c>
      <c r="AF297">
        <f>ROUND(((EV297*1.15)),1)</f>
        <v>2044.7</v>
      </c>
      <c r="AG297">
        <f>ROUND((AP297),1)</f>
        <v>0</v>
      </c>
      <c r="AH297">
        <f>((EW297*1.15))</f>
        <v>322</v>
      </c>
      <c r="AI297">
        <f>((EX297*1.25))</f>
        <v>0</v>
      </c>
      <c r="AJ297">
        <f>(AS297)</f>
        <v>0</v>
      </c>
      <c r="AK297">
        <v>1778</v>
      </c>
      <c r="AL297">
        <v>0</v>
      </c>
      <c r="AM297">
        <v>0</v>
      </c>
      <c r="AN297">
        <v>0</v>
      </c>
      <c r="AO297">
        <v>1778</v>
      </c>
      <c r="AP297">
        <v>0</v>
      </c>
      <c r="AQ297">
        <v>280</v>
      </c>
      <c r="AR297">
        <v>0</v>
      </c>
      <c r="AS297">
        <v>0</v>
      </c>
      <c r="AT297">
        <v>80</v>
      </c>
      <c r="AU297">
        <v>38</v>
      </c>
      <c r="AV297">
        <v>1</v>
      </c>
      <c r="AW297">
        <v>1</v>
      </c>
      <c r="AZ297">
        <v>1</v>
      </c>
      <c r="BA297">
        <v>1</v>
      </c>
      <c r="BB297">
        <v>1</v>
      </c>
      <c r="BC297">
        <v>1</v>
      </c>
      <c r="BD297" t="s">
        <v>3</v>
      </c>
      <c r="BE297" t="s">
        <v>3</v>
      </c>
      <c r="BF297" t="s">
        <v>3</v>
      </c>
      <c r="BG297" t="s">
        <v>3</v>
      </c>
      <c r="BH297">
        <v>0</v>
      </c>
      <c r="BI297">
        <v>1</v>
      </c>
      <c r="BJ297" t="s">
        <v>285</v>
      </c>
      <c r="BM297">
        <v>1003</v>
      </c>
      <c r="BN297">
        <v>0</v>
      </c>
      <c r="BO297" t="s">
        <v>3</v>
      </c>
      <c r="BP297">
        <v>0</v>
      </c>
      <c r="BQ297">
        <v>2</v>
      </c>
      <c r="BR297">
        <v>0</v>
      </c>
      <c r="BS297">
        <v>1</v>
      </c>
      <c r="BT297">
        <v>1</v>
      </c>
      <c r="BU297">
        <v>1</v>
      </c>
      <c r="BV297">
        <v>1</v>
      </c>
      <c r="BW297">
        <v>1</v>
      </c>
      <c r="BX297">
        <v>1</v>
      </c>
      <c r="BY297" t="s">
        <v>3</v>
      </c>
      <c r="BZ297">
        <v>80</v>
      </c>
      <c r="CA297">
        <v>45</v>
      </c>
      <c r="CE297">
        <v>0</v>
      </c>
      <c r="CF297">
        <v>0</v>
      </c>
      <c r="CG297">
        <v>0</v>
      </c>
      <c r="CM297">
        <v>0</v>
      </c>
      <c r="CN297" t="s">
        <v>3</v>
      </c>
      <c r="CO297">
        <v>0</v>
      </c>
      <c r="CP297">
        <f>(P297+Q297+S297)</f>
        <v>8</v>
      </c>
      <c r="CQ297">
        <f>AC297*BC297</f>
        <v>0</v>
      </c>
      <c r="CR297">
        <f>AD297*BB297</f>
        <v>0</v>
      </c>
      <c r="CS297">
        <f>AE297*BS297</f>
        <v>0</v>
      </c>
      <c r="CT297">
        <f>AF297*BA297</f>
        <v>2044.7</v>
      </c>
      <c r="CU297">
        <f t="shared" ref="CU297:CX300" si="258">AG297</f>
        <v>0</v>
      </c>
      <c r="CV297">
        <f t="shared" si="258"/>
        <v>322</v>
      </c>
      <c r="CW297">
        <f t="shared" si="258"/>
        <v>0</v>
      </c>
      <c r="CX297">
        <f t="shared" si="258"/>
        <v>0</v>
      </c>
      <c r="CY297">
        <f>(((S297+R297)*AT297)/100)</f>
        <v>6.4</v>
      </c>
      <c r="CZ297">
        <f>(((S297+R297)*AU297)/100)</f>
        <v>3.04</v>
      </c>
      <c r="DC297" t="s">
        <v>3</v>
      </c>
      <c r="DD297" t="s">
        <v>3</v>
      </c>
      <c r="DE297" t="s">
        <v>11</v>
      </c>
      <c r="DF297" t="s">
        <v>11</v>
      </c>
      <c r="DG297" t="s">
        <v>12</v>
      </c>
      <c r="DH297" t="s">
        <v>3</v>
      </c>
      <c r="DI297" t="s">
        <v>12</v>
      </c>
      <c r="DJ297" t="s">
        <v>11</v>
      </c>
      <c r="DK297" t="s">
        <v>3</v>
      </c>
      <c r="DL297" t="s">
        <v>3</v>
      </c>
      <c r="DM297" t="s">
        <v>3</v>
      </c>
      <c r="DN297">
        <v>0</v>
      </c>
      <c r="DO297">
        <v>0</v>
      </c>
      <c r="DP297">
        <v>1</v>
      </c>
      <c r="DQ297">
        <v>1</v>
      </c>
      <c r="DU297">
        <v>1013</v>
      </c>
      <c r="DV297" t="s">
        <v>207</v>
      </c>
      <c r="DW297" t="s">
        <v>207</v>
      </c>
      <c r="DX297">
        <v>1</v>
      </c>
      <c r="EE297">
        <v>48752191</v>
      </c>
      <c r="EF297">
        <v>2</v>
      </c>
      <c r="EG297" t="s">
        <v>30</v>
      </c>
      <c r="EH297">
        <v>0</v>
      </c>
      <c r="EI297" t="s">
        <v>3</v>
      </c>
      <c r="EJ297">
        <v>1</v>
      </c>
      <c r="EK297">
        <v>1003</v>
      </c>
      <c r="EL297" t="s">
        <v>209</v>
      </c>
      <c r="EM297" t="s">
        <v>32</v>
      </c>
      <c r="EO297" t="s">
        <v>3</v>
      </c>
      <c r="EQ297">
        <v>131072</v>
      </c>
      <c r="ER297">
        <v>1778</v>
      </c>
      <c r="ES297">
        <v>0</v>
      </c>
      <c r="ET297">
        <v>0</v>
      </c>
      <c r="EU297">
        <v>0</v>
      </c>
      <c r="EV297">
        <v>1778</v>
      </c>
      <c r="EW297">
        <v>280</v>
      </c>
      <c r="EX297">
        <v>0</v>
      </c>
      <c r="EY297">
        <v>0</v>
      </c>
      <c r="FQ297">
        <v>0</v>
      </c>
      <c r="FR297">
        <f>ROUND(IF(AND(BH297=3,BI297=3),P297,0),0)</f>
        <v>0</v>
      </c>
      <c r="FS297">
        <v>0</v>
      </c>
      <c r="FU297" t="s">
        <v>33</v>
      </c>
      <c r="FX297">
        <v>80</v>
      </c>
      <c r="FY297">
        <v>38.25</v>
      </c>
      <c r="GA297" t="s">
        <v>3</v>
      </c>
      <c r="GD297">
        <v>1</v>
      </c>
      <c r="GF297">
        <v>995948563</v>
      </c>
      <c r="GG297">
        <v>2</v>
      </c>
      <c r="GH297">
        <v>0</v>
      </c>
      <c r="GI297">
        <v>0</v>
      </c>
      <c r="GJ297">
        <v>0</v>
      </c>
      <c r="GK297">
        <v>0</v>
      </c>
      <c r="GL297">
        <f>ROUND(IF(AND(BH297=3,BI297=3,FS297&lt;&gt;0),P297,0),0)</f>
        <v>0</v>
      </c>
      <c r="GM297">
        <f>ROUND(O297+X297+Y297,0)+GX297</f>
        <v>17</v>
      </c>
      <c r="GN297">
        <f>IF(OR(BI297=0,BI297=1),ROUND(O297+X297+Y297,0),0)</f>
        <v>17</v>
      </c>
      <c r="GO297">
        <f>IF(BI297=2,ROUND(O297+X297+Y297,0),0)</f>
        <v>0</v>
      </c>
      <c r="GP297">
        <f>IF(BI297=4,ROUND(O297+X297+Y297,0)+GX297,0)</f>
        <v>0</v>
      </c>
      <c r="GR297">
        <v>0</v>
      </c>
      <c r="GS297">
        <v>0</v>
      </c>
      <c r="GT297">
        <v>0</v>
      </c>
      <c r="GU297" t="s">
        <v>3</v>
      </c>
      <c r="GV297">
        <f>ROUND((GT297),1)</f>
        <v>0</v>
      </c>
      <c r="GW297">
        <v>1</v>
      </c>
      <c r="GX297">
        <f>ROUND(HC297*I297,0)</f>
        <v>0</v>
      </c>
      <c r="HA297">
        <v>0</v>
      </c>
      <c r="HB297">
        <v>0</v>
      </c>
      <c r="HC297">
        <f>GV297*GW297</f>
        <v>0</v>
      </c>
      <c r="IK297">
        <v>0</v>
      </c>
    </row>
    <row r="298" spans="1:245" x14ac:dyDescent="0.2">
      <c r="A298">
        <v>17</v>
      </c>
      <c r="B298">
        <v>1</v>
      </c>
      <c r="E298" t="s">
        <v>286</v>
      </c>
      <c r="F298" t="s">
        <v>287</v>
      </c>
      <c r="G298" t="s">
        <v>672</v>
      </c>
      <c r="H298" t="s">
        <v>288</v>
      </c>
      <c r="I298">
        <f>ROUND(7,4)</f>
        <v>7</v>
      </c>
      <c r="J298">
        <v>0</v>
      </c>
      <c r="O298">
        <f>ROUND(CP298,0)</f>
        <v>5073</v>
      </c>
      <c r="P298">
        <f>ROUND(CQ298*I298,0)</f>
        <v>5073</v>
      </c>
      <c r="Q298">
        <f>ROUND(CR298*I298,0)</f>
        <v>0</v>
      </c>
      <c r="R298">
        <f>ROUND(CS298*I298,0)</f>
        <v>0</v>
      </c>
      <c r="S298">
        <f>ROUND(CT298*I298,0)</f>
        <v>0</v>
      </c>
      <c r="T298">
        <f>ROUND(CU298*I298,0)</f>
        <v>0</v>
      </c>
      <c r="U298">
        <f>CV298*I298</f>
        <v>0</v>
      </c>
      <c r="V298">
        <f>CW298*I298</f>
        <v>0</v>
      </c>
      <c r="W298">
        <f>ROUND(CX298*I298,0)</f>
        <v>0</v>
      </c>
      <c r="X298">
        <f t="shared" si="257"/>
        <v>0</v>
      </c>
      <c r="Y298">
        <f t="shared" si="257"/>
        <v>0</v>
      </c>
      <c r="AA298">
        <v>50210945</v>
      </c>
      <c r="AB298">
        <f>ROUND((AC298+AD298+AF298),1)</f>
        <v>724.7</v>
      </c>
      <c r="AC298">
        <f>ROUND((ES298),1)</f>
        <v>724.7</v>
      </c>
      <c r="AD298">
        <f>ROUND((((ET298)-(EU298))+AE298),1)</f>
        <v>0</v>
      </c>
      <c r="AE298">
        <f>ROUND((EU298),1)</f>
        <v>0</v>
      </c>
      <c r="AF298">
        <f>ROUND((EV298),1)</f>
        <v>0</v>
      </c>
      <c r="AG298">
        <f>ROUND((AP298),1)</f>
        <v>0</v>
      </c>
      <c r="AH298">
        <f>(EW298)</f>
        <v>0</v>
      </c>
      <c r="AI298">
        <f>(EX298)</f>
        <v>0</v>
      </c>
      <c r="AJ298">
        <f>(AS298)</f>
        <v>0</v>
      </c>
      <c r="AK298">
        <v>724.73</v>
      </c>
      <c r="AL298">
        <v>724.73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1</v>
      </c>
      <c r="AW298">
        <v>1</v>
      </c>
      <c r="AZ298">
        <v>1</v>
      </c>
      <c r="BA298">
        <v>1</v>
      </c>
      <c r="BB298">
        <v>1</v>
      </c>
      <c r="BC298">
        <v>1</v>
      </c>
      <c r="BD298" t="s">
        <v>3</v>
      </c>
      <c r="BE298" t="s">
        <v>3</v>
      </c>
      <c r="BF298" t="s">
        <v>3</v>
      </c>
      <c r="BG298" t="s">
        <v>3</v>
      </c>
      <c r="BH298">
        <v>3</v>
      </c>
      <c r="BI298">
        <v>1</v>
      </c>
      <c r="BJ298" t="s">
        <v>3</v>
      </c>
      <c r="BM298">
        <v>1100</v>
      </c>
      <c r="BN298">
        <v>0</v>
      </c>
      <c r="BO298" t="s">
        <v>3</v>
      </c>
      <c r="BP298">
        <v>0</v>
      </c>
      <c r="BQ298">
        <v>8</v>
      </c>
      <c r="BR298">
        <v>0</v>
      </c>
      <c r="BS298">
        <v>1</v>
      </c>
      <c r="BT298">
        <v>1</v>
      </c>
      <c r="BU298">
        <v>1</v>
      </c>
      <c r="BV298">
        <v>1</v>
      </c>
      <c r="BW298">
        <v>1</v>
      </c>
      <c r="BX298">
        <v>1</v>
      </c>
      <c r="BY298" t="s">
        <v>3</v>
      </c>
      <c r="BZ298">
        <v>0</v>
      </c>
      <c r="CA298">
        <v>0</v>
      </c>
      <c r="CE298">
        <v>0</v>
      </c>
      <c r="CF298">
        <v>0</v>
      </c>
      <c r="CG298">
        <v>0</v>
      </c>
      <c r="CM298">
        <v>0</v>
      </c>
      <c r="CN298" t="s">
        <v>3</v>
      </c>
      <c r="CO298">
        <v>0</v>
      </c>
      <c r="CP298">
        <f>(P298+Q298+S298)</f>
        <v>5073</v>
      </c>
      <c r="CQ298">
        <f>AC298*BC298</f>
        <v>724.7</v>
      </c>
      <c r="CR298">
        <f>AD298*BB298</f>
        <v>0</v>
      </c>
      <c r="CS298">
        <f>AE298*BS298</f>
        <v>0</v>
      </c>
      <c r="CT298">
        <f>AF298*BA298</f>
        <v>0</v>
      </c>
      <c r="CU298">
        <f t="shared" si="258"/>
        <v>0</v>
      </c>
      <c r="CV298">
        <f t="shared" si="258"/>
        <v>0</v>
      </c>
      <c r="CW298">
        <f t="shared" si="258"/>
        <v>0</v>
      </c>
      <c r="CX298">
        <f t="shared" si="258"/>
        <v>0</v>
      </c>
      <c r="CY298">
        <f>(((S298+R298)*AT298)/100)</f>
        <v>0</v>
      </c>
      <c r="CZ298">
        <f>(((S298+R298)*AU298)/100)</f>
        <v>0</v>
      </c>
      <c r="DC298" t="s">
        <v>3</v>
      </c>
      <c r="DD298" t="s">
        <v>3</v>
      </c>
      <c r="DE298" t="s">
        <v>3</v>
      </c>
      <c r="DF298" t="s">
        <v>3</v>
      </c>
      <c r="DG298" t="s">
        <v>3</v>
      </c>
      <c r="DH298" t="s">
        <v>3</v>
      </c>
      <c r="DI298" t="s">
        <v>3</v>
      </c>
      <c r="DJ298" t="s">
        <v>3</v>
      </c>
      <c r="DK298" t="s">
        <v>3</v>
      </c>
      <c r="DL298" t="s">
        <v>3</v>
      </c>
      <c r="DM298" t="s">
        <v>3</v>
      </c>
      <c r="DN298">
        <v>0</v>
      </c>
      <c r="DO298">
        <v>0</v>
      </c>
      <c r="DP298">
        <v>1</v>
      </c>
      <c r="DQ298">
        <v>1</v>
      </c>
      <c r="DU298">
        <v>1013</v>
      </c>
      <c r="DV298" t="s">
        <v>288</v>
      </c>
      <c r="DW298" t="s">
        <v>288</v>
      </c>
      <c r="DX298">
        <v>1</v>
      </c>
      <c r="EE298">
        <v>48752395</v>
      </c>
      <c r="EF298">
        <v>8</v>
      </c>
      <c r="EG298" t="s">
        <v>289</v>
      </c>
      <c r="EH298">
        <v>0</v>
      </c>
      <c r="EI298" t="s">
        <v>3</v>
      </c>
      <c r="EJ298">
        <v>1</v>
      </c>
      <c r="EK298">
        <v>1100</v>
      </c>
      <c r="EL298" t="s">
        <v>290</v>
      </c>
      <c r="EM298" t="s">
        <v>291</v>
      </c>
      <c r="EO298" t="s">
        <v>3</v>
      </c>
      <c r="EQ298">
        <v>131072</v>
      </c>
      <c r="ER298">
        <v>724.73</v>
      </c>
      <c r="ES298">
        <v>724.73</v>
      </c>
      <c r="ET298">
        <v>0</v>
      </c>
      <c r="EU298">
        <v>0</v>
      </c>
      <c r="EV298">
        <v>0</v>
      </c>
      <c r="EW298">
        <v>0</v>
      </c>
      <c r="EX298">
        <v>0</v>
      </c>
      <c r="EY298">
        <v>0</v>
      </c>
      <c r="EZ298">
        <v>5</v>
      </c>
      <c r="FC298">
        <v>1</v>
      </c>
      <c r="FD298">
        <v>18</v>
      </c>
      <c r="FF298">
        <v>7000</v>
      </c>
      <c r="FQ298">
        <v>0</v>
      </c>
      <c r="FR298">
        <f>ROUND(IF(AND(BH298=3,BI298=3),P298,0),0)</f>
        <v>0</v>
      </c>
      <c r="FS298">
        <v>0</v>
      </c>
      <c r="FX298">
        <v>0</v>
      </c>
      <c r="FY298">
        <v>0</v>
      </c>
      <c r="GA298" t="s">
        <v>292</v>
      </c>
      <c r="GD298">
        <v>1</v>
      </c>
      <c r="GF298">
        <v>-2029172018</v>
      </c>
      <c r="GG298">
        <v>2</v>
      </c>
      <c r="GH298">
        <v>3</v>
      </c>
      <c r="GI298">
        <v>3</v>
      </c>
      <c r="GJ298">
        <v>0</v>
      </c>
      <c r="GK298">
        <v>0</v>
      </c>
      <c r="GL298">
        <f>ROUND(IF(AND(BH298=3,BI298=3,FS298&lt;&gt;0),P298,0),0)</f>
        <v>0</v>
      </c>
      <c r="GM298">
        <f>ROUND(O298+X298+Y298,0)+GX298</f>
        <v>5073</v>
      </c>
      <c r="GN298">
        <f>IF(OR(BI298=0,BI298=1),ROUND(O298+X298+Y298,0),0)</f>
        <v>5073</v>
      </c>
      <c r="GO298">
        <f>IF(BI298=2,ROUND(O298+X298+Y298,0),0)</f>
        <v>0</v>
      </c>
      <c r="GP298">
        <f>IF(BI298=4,ROUND(O298+X298+Y298,0)+GX298,0)</f>
        <v>0</v>
      </c>
      <c r="GR298">
        <v>1</v>
      </c>
      <c r="GS298">
        <v>1</v>
      </c>
      <c r="GT298">
        <v>0</v>
      </c>
      <c r="GU298" t="s">
        <v>3</v>
      </c>
      <c r="GV298">
        <f>ROUND((GT298),1)</f>
        <v>0</v>
      </c>
      <c r="GW298">
        <v>1</v>
      </c>
      <c r="GX298">
        <f>ROUND(HC298*I298,0)</f>
        <v>0</v>
      </c>
      <c r="HA298">
        <v>0</v>
      </c>
      <c r="HB298">
        <v>0</v>
      </c>
      <c r="HC298">
        <f>GV298*GW298</f>
        <v>0</v>
      </c>
      <c r="IK298">
        <v>0</v>
      </c>
    </row>
    <row r="299" spans="1:245" x14ac:dyDescent="0.2">
      <c r="A299">
        <v>17</v>
      </c>
      <c r="B299">
        <v>1</v>
      </c>
      <c r="C299">
        <f>ROW(SmtRes!A174)</f>
        <v>174</v>
      </c>
      <c r="D299">
        <f>ROW(EtalonRes!A170)</f>
        <v>170</v>
      </c>
      <c r="E299" t="s">
        <v>293</v>
      </c>
      <c r="F299" t="s">
        <v>294</v>
      </c>
      <c r="G299" t="s">
        <v>295</v>
      </c>
      <c r="H299" t="s">
        <v>296</v>
      </c>
      <c r="I299">
        <f>ROUND((I297*100/2)/100,4)</f>
        <v>2E-3</v>
      </c>
      <c r="J299">
        <v>0</v>
      </c>
      <c r="O299">
        <f>ROUND(CP299,0)</f>
        <v>110</v>
      </c>
      <c r="P299">
        <f>ROUND(CQ299*I299,0)</f>
        <v>103</v>
      </c>
      <c r="Q299">
        <f>ROUND(CR299*I299,0)</f>
        <v>4</v>
      </c>
      <c r="R299">
        <f>ROUND(CS299*I299,0)</f>
        <v>1</v>
      </c>
      <c r="S299">
        <f>ROUND(CT299*I299,0)</f>
        <v>3</v>
      </c>
      <c r="T299">
        <f>ROUND(CU299*I299,0)</f>
        <v>0</v>
      </c>
      <c r="U299">
        <f>CV299*I299</f>
        <v>0.41399999999999998</v>
      </c>
      <c r="V299">
        <f>CW299*I299</f>
        <v>4.4999999999999998E-2</v>
      </c>
      <c r="W299">
        <f>ROUND(CX299*I299,0)</f>
        <v>0</v>
      </c>
      <c r="X299">
        <f t="shared" si="257"/>
        <v>4</v>
      </c>
      <c r="Y299">
        <f t="shared" si="257"/>
        <v>2</v>
      </c>
      <c r="AA299">
        <v>50210945</v>
      </c>
      <c r="AB299">
        <f>ROUND((AC299+AD299+AF299),1)</f>
        <v>54712.7</v>
      </c>
      <c r="AC299">
        <f>ROUND((ES299),1)</f>
        <v>51415.5</v>
      </c>
      <c r="AD299">
        <f>ROUND(((((ET299*1.25))-((EU299*1.25)))+AE299),1)</f>
        <v>1982.7</v>
      </c>
      <c r="AE299">
        <f>ROUND(((EU299*1.25)),1)</f>
        <v>298.39999999999998</v>
      </c>
      <c r="AF299">
        <f>ROUND(((EV299*1.15)),1)</f>
        <v>1314.5</v>
      </c>
      <c r="AG299">
        <f>ROUND((AP299),1)</f>
        <v>0</v>
      </c>
      <c r="AH299">
        <f>((EW299*1.15))</f>
        <v>206.99999999999997</v>
      </c>
      <c r="AI299">
        <f>((EX299*1.25))</f>
        <v>22.5</v>
      </c>
      <c r="AJ299">
        <f>(AS299)</f>
        <v>0</v>
      </c>
      <c r="AK299">
        <v>54144.62</v>
      </c>
      <c r="AL299">
        <v>51415.49</v>
      </c>
      <c r="AM299">
        <v>1586.13</v>
      </c>
      <c r="AN299">
        <v>238.68</v>
      </c>
      <c r="AO299">
        <v>1143</v>
      </c>
      <c r="AP299">
        <v>0</v>
      </c>
      <c r="AQ299">
        <v>180</v>
      </c>
      <c r="AR299">
        <v>18</v>
      </c>
      <c r="AS299">
        <v>0</v>
      </c>
      <c r="AT299">
        <v>105</v>
      </c>
      <c r="AU299">
        <v>55</v>
      </c>
      <c r="AV299">
        <v>1</v>
      </c>
      <c r="AW299">
        <v>1</v>
      </c>
      <c r="AZ299">
        <v>1</v>
      </c>
      <c r="BA299">
        <v>1</v>
      </c>
      <c r="BB299">
        <v>1</v>
      </c>
      <c r="BC299">
        <v>1</v>
      </c>
      <c r="BD299" t="s">
        <v>3</v>
      </c>
      <c r="BE299" t="s">
        <v>3</v>
      </c>
      <c r="BF299" t="s">
        <v>3</v>
      </c>
      <c r="BG299" t="s">
        <v>3</v>
      </c>
      <c r="BH299">
        <v>0</v>
      </c>
      <c r="BI299">
        <v>1</v>
      </c>
      <c r="BJ299" t="s">
        <v>297</v>
      </c>
      <c r="BM299">
        <v>6001</v>
      </c>
      <c r="BN299">
        <v>0</v>
      </c>
      <c r="BO299" t="s">
        <v>3</v>
      </c>
      <c r="BP299">
        <v>0</v>
      </c>
      <c r="BQ299">
        <v>2</v>
      </c>
      <c r="BR299">
        <v>0</v>
      </c>
      <c r="BS299">
        <v>1</v>
      </c>
      <c r="BT299">
        <v>1</v>
      </c>
      <c r="BU299">
        <v>1</v>
      </c>
      <c r="BV299">
        <v>1</v>
      </c>
      <c r="BW299">
        <v>1</v>
      </c>
      <c r="BX299">
        <v>1</v>
      </c>
      <c r="BY299" t="s">
        <v>3</v>
      </c>
      <c r="BZ299">
        <v>105</v>
      </c>
      <c r="CA299">
        <v>65</v>
      </c>
      <c r="CE299">
        <v>0</v>
      </c>
      <c r="CF299">
        <v>0</v>
      </c>
      <c r="CG299">
        <v>0</v>
      </c>
      <c r="CM299">
        <v>0</v>
      </c>
      <c r="CN299" t="s">
        <v>3</v>
      </c>
      <c r="CO299">
        <v>0</v>
      </c>
      <c r="CP299">
        <f>(P299+Q299+S299)</f>
        <v>110</v>
      </c>
      <c r="CQ299">
        <f>AC299*BC299</f>
        <v>51415.5</v>
      </c>
      <c r="CR299">
        <f>AD299*BB299</f>
        <v>1982.7</v>
      </c>
      <c r="CS299">
        <f>AE299*BS299</f>
        <v>298.39999999999998</v>
      </c>
      <c r="CT299">
        <f>AF299*BA299</f>
        <v>1314.5</v>
      </c>
      <c r="CU299">
        <f t="shared" si="258"/>
        <v>0</v>
      </c>
      <c r="CV299">
        <f t="shared" si="258"/>
        <v>206.99999999999997</v>
      </c>
      <c r="CW299">
        <f t="shared" si="258"/>
        <v>22.5</v>
      </c>
      <c r="CX299">
        <f t="shared" si="258"/>
        <v>0</v>
      </c>
      <c r="CY299">
        <f>(((S299+R299)*AT299)/100)</f>
        <v>4.2</v>
      </c>
      <c r="CZ299">
        <f>(((S299+R299)*AU299)/100)</f>
        <v>2.2000000000000002</v>
      </c>
      <c r="DC299" t="s">
        <v>3</v>
      </c>
      <c r="DD299" t="s">
        <v>3</v>
      </c>
      <c r="DE299" t="s">
        <v>11</v>
      </c>
      <c r="DF299" t="s">
        <v>11</v>
      </c>
      <c r="DG299" t="s">
        <v>12</v>
      </c>
      <c r="DH299" t="s">
        <v>3</v>
      </c>
      <c r="DI299" t="s">
        <v>12</v>
      </c>
      <c r="DJ299" t="s">
        <v>11</v>
      </c>
      <c r="DK299" t="s">
        <v>3</v>
      </c>
      <c r="DL299" t="s">
        <v>3</v>
      </c>
      <c r="DM299" t="s">
        <v>3</v>
      </c>
      <c r="DN299">
        <v>0</v>
      </c>
      <c r="DO299">
        <v>0</v>
      </c>
      <c r="DP299">
        <v>1</v>
      </c>
      <c r="DQ299">
        <v>1</v>
      </c>
      <c r="DU299">
        <v>1013</v>
      </c>
      <c r="DV299" t="s">
        <v>296</v>
      </c>
      <c r="DW299" t="s">
        <v>296</v>
      </c>
      <c r="DX299">
        <v>1</v>
      </c>
      <c r="EE299">
        <v>48752202</v>
      </c>
      <c r="EF299">
        <v>2</v>
      </c>
      <c r="EG299" t="s">
        <v>30</v>
      </c>
      <c r="EH299">
        <v>0</v>
      </c>
      <c r="EI299" t="s">
        <v>3</v>
      </c>
      <c r="EJ299">
        <v>1</v>
      </c>
      <c r="EK299">
        <v>6001</v>
      </c>
      <c r="EL299" t="s">
        <v>298</v>
      </c>
      <c r="EM299" t="s">
        <v>299</v>
      </c>
      <c r="EO299" t="s">
        <v>3</v>
      </c>
      <c r="EQ299">
        <v>131072</v>
      </c>
      <c r="ER299">
        <v>54144.62</v>
      </c>
      <c r="ES299">
        <v>51415.49</v>
      </c>
      <c r="ET299">
        <v>1586.13</v>
      </c>
      <c r="EU299">
        <v>238.68</v>
      </c>
      <c r="EV299">
        <v>1143</v>
      </c>
      <c r="EW299">
        <v>180</v>
      </c>
      <c r="EX299">
        <v>18</v>
      </c>
      <c r="EY299">
        <v>0</v>
      </c>
      <c r="FQ299">
        <v>0</v>
      </c>
      <c r="FR299">
        <f>ROUND(IF(AND(BH299=3,BI299=3),P299,0),0)</f>
        <v>0</v>
      </c>
      <c r="FS299">
        <v>0</v>
      </c>
      <c r="FU299" t="s">
        <v>33</v>
      </c>
      <c r="FX299">
        <v>105</v>
      </c>
      <c r="FY299">
        <v>55.25</v>
      </c>
      <c r="GA299" t="s">
        <v>3</v>
      </c>
      <c r="GD299">
        <v>1</v>
      </c>
      <c r="GF299">
        <v>289825225</v>
      </c>
      <c r="GG299">
        <v>2</v>
      </c>
      <c r="GH299">
        <v>0</v>
      </c>
      <c r="GI299">
        <v>0</v>
      </c>
      <c r="GJ299">
        <v>0</v>
      </c>
      <c r="GK299">
        <v>0</v>
      </c>
      <c r="GL299">
        <f>ROUND(IF(AND(BH299=3,BI299=3,FS299&lt;&gt;0),P299,0),0)</f>
        <v>0</v>
      </c>
      <c r="GM299">
        <f>ROUND(O299+X299+Y299,0)+GX299</f>
        <v>116</v>
      </c>
      <c r="GN299">
        <f>IF(OR(BI299=0,BI299=1),ROUND(O299+X299+Y299,0),0)</f>
        <v>116</v>
      </c>
      <c r="GO299">
        <f>IF(BI299=2,ROUND(O299+X299+Y299,0),0)</f>
        <v>0</v>
      </c>
      <c r="GP299">
        <f>IF(BI299=4,ROUND(O299+X299+Y299,0)+GX299,0)</f>
        <v>0</v>
      </c>
      <c r="GR299">
        <v>0</v>
      </c>
      <c r="GS299">
        <v>0</v>
      </c>
      <c r="GT299">
        <v>0</v>
      </c>
      <c r="GU299" t="s">
        <v>3</v>
      </c>
      <c r="GV299">
        <f>ROUND((GT299),1)</f>
        <v>0</v>
      </c>
      <c r="GW299">
        <v>1</v>
      </c>
      <c r="GX299">
        <f>ROUND(HC299*I299,0)</f>
        <v>0</v>
      </c>
      <c r="HA299">
        <v>0</v>
      </c>
      <c r="HB299">
        <v>0</v>
      </c>
      <c r="HC299">
        <f>GV299*GW299</f>
        <v>0</v>
      </c>
      <c r="IK299">
        <v>0</v>
      </c>
    </row>
    <row r="300" spans="1:245" x14ac:dyDescent="0.2">
      <c r="A300">
        <v>17</v>
      </c>
      <c r="B300">
        <v>1</v>
      </c>
      <c r="C300">
        <f>ROW(SmtRes!A175)</f>
        <v>175</v>
      </c>
      <c r="D300">
        <f>ROW(EtalonRes!A171)</f>
        <v>171</v>
      </c>
      <c r="E300" t="s">
        <v>300</v>
      </c>
      <c r="F300" t="s">
        <v>223</v>
      </c>
      <c r="G300" t="s">
        <v>224</v>
      </c>
      <c r="H300" t="s">
        <v>207</v>
      </c>
      <c r="I300">
        <f>ROUND((I299*100)/100,4)</f>
        <v>2E-3</v>
      </c>
      <c r="J300">
        <v>0</v>
      </c>
      <c r="O300">
        <f>ROUND(CP300,0)</f>
        <v>1</v>
      </c>
      <c r="P300">
        <f>ROUND(CQ300*I300,0)</f>
        <v>0</v>
      </c>
      <c r="Q300">
        <f>ROUND(CR300*I300,0)</f>
        <v>0</v>
      </c>
      <c r="R300">
        <f>ROUND(CS300*I300,0)</f>
        <v>0</v>
      </c>
      <c r="S300">
        <f>ROUND(CT300*I300,0)</f>
        <v>1</v>
      </c>
      <c r="T300">
        <f>ROUND(CU300*I300,0)</f>
        <v>0</v>
      </c>
      <c r="U300">
        <f>CV300*I300</f>
        <v>0.20354999999999998</v>
      </c>
      <c r="V300">
        <f>CW300*I300</f>
        <v>0</v>
      </c>
      <c r="W300">
        <f>ROUND(CX300*I300,0)</f>
        <v>0</v>
      </c>
      <c r="X300">
        <f t="shared" si="257"/>
        <v>1</v>
      </c>
      <c r="Y300">
        <f t="shared" si="257"/>
        <v>0</v>
      </c>
      <c r="AA300">
        <v>50210945</v>
      </c>
      <c r="AB300">
        <f>ROUND((AC300+AD300+AF300),1)</f>
        <v>620.79999999999995</v>
      </c>
      <c r="AC300">
        <f>ROUND((ES300),1)</f>
        <v>0</v>
      </c>
      <c r="AD300">
        <f>ROUND(((((ET300*1.25))-((EU300*1.25)))+AE300),1)</f>
        <v>0</v>
      </c>
      <c r="AE300">
        <f>ROUND(((EU300*1.25)),1)</f>
        <v>0</v>
      </c>
      <c r="AF300">
        <f>ROUND(((EV300*1.15)),1)</f>
        <v>620.79999999999995</v>
      </c>
      <c r="AG300">
        <f>ROUND((AP300),1)</f>
        <v>0</v>
      </c>
      <c r="AH300">
        <f>((EW300*1.15))</f>
        <v>101.77499999999999</v>
      </c>
      <c r="AI300">
        <f>((EX300*1.25))</f>
        <v>0</v>
      </c>
      <c r="AJ300">
        <f>(AS300)</f>
        <v>0</v>
      </c>
      <c r="AK300">
        <v>539.85</v>
      </c>
      <c r="AL300">
        <v>0</v>
      </c>
      <c r="AM300">
        <v>0</v>
      </c>
      <c r="AN300">
        <v>0</v>
      </c>
      <c r="AO300">
        <v>539.85</v>
      </c>
      <c r="AP300">
        <v>0</v>
      </c>
      <c r="AQ300">
        <v>88.5</v>
      </c>
      <c r="AR300">
        <v>0</v>
      </c>
      <c r="AS300">
        <v>0</v>
      </c>
      <c r="AT300">
        <v>80</v>
      </c>
      <c r="AU300">
        <v>38</v>
      </c>
      <c r="AV300">
        <v>1</v>
      </c>
      <c r="AW300">
        <v>1</v>
      </c>
      <c r="AZ300">
        <v>1</v>
      </c>
      <c r="BA300">
        <v>1</v>
      </c>
      <c r="BB300">
        <v>1</v>
      </c>
      <c r="BC300">
        <v>1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1</v>
      </c>
      <c r="BJ300" t="s">
        <v>225</v>
      </c>
      <c r="BM300">
        <v>1003</v>
      </c>
      <c r="BN300">
        <v>0</v>
      </c>
      <c r="BO300" t="s">
        <v>3</v>
      </c>
      <c r="BP300">
        <v>0</v>
      </c>
      <c r="BQ300">
        <v>2</v>
      </c>
      <c r="BR300">
        <v>0</v>
      </c>
      <c r="BS300">
        <v>1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80</v>
      </c>
      <c r="CA300">
        <v>45</v>
      </c>
      <c r="CE300">
        <v>0</v>
      </c>
      <c r="CF300">
        <v>0</v>
      </c>
      <c r="CG300">
        <v>0</v>
      </c>
      <c r="CM300">
        <v>0</v>
      </c>
      <c r="CN300" t="s">
        <v>3</v>
      </c>
      <c r="CO300">
        <v>0</v>
      </c>
      <c r="CP300">
        <f>(P300+Q300+S300)</f>
        <v>1</v>
      </c>
      <c r="CQ300">
        <f>AC300*BC300</f>
        <v>0</v>
      </c>
      <c r="CR300">
        <f>AD300*BB300</f>
        <v>0</v>
      </c>
      <c r="CS300">
        <f>AE300*BS300</f>
        <v>0</v>
      </c>
      <c r="CT300">
        <f>AF300*BA300</f>
        <v>620.79999999999995</v>
      </c>
      <c r="CU300">
        <f t="shared" si="258"/>
        <v>0</v>
      </c>
      <c r="CV300">
        <f t="shared" si="258"/>
        <v>101.77499999999999</v>
      </c>
      <c r="CW300">
        <f t="shared" si="258"/>
        <v>0</v>
      </c>
      <c r="CX300">
        <f t="shared" si="258"/>
        <v>0</v>
      </c>
      <c r="CY300">
        <f>(((S300+R300)*AT300)/100)</f>
        <v>0.8</v>
      </c>
      <c r="CZ300">
        <f>(((S300+R300)*AU300)/100)</f>
        <v>0.38</v>
      </c>
      <c r="DC300" t="s">
        <v>3</v>
      </c>
      <c r="DD300" t="s">
        <v>3</v>
      </c>
      <c r="DE300" t="s">
        <v>11</v>
      </c>
      <c r="DF300" t="s">
        <v>11</v>
      </c>
      <c r="DG300" t="s">
        <v>12</v>
      </c>
      <c r="DH300" t="s">
        <v>3</v>
      </c>
      <c r="DI300" t="s">
        <v>12</v>
      </c>
      <c r="DJ300" t="s">
        <v>11</v>
      </c>
      <c r="DK300" t="s">
        <v>3</v>
      </c>
      <c r="DL300" t="s">
        <v>3</v>
      </c>
      <c r="DM300" t="s">
        <v>3</v>
      </c>
      <c r="DN300">
        <v>0</v>
      </c>
      <c r="DO300">
        <v>0</v>
      </c>
      <c r="DP300">
        <v>1</v>
      </c>
      <c r="DQ300">
        <v>1</v>
      </c>
      <c r="DU300">
        <v>1013</v>
      </c>
      <c r="DV300" t="s">
        <v>207</v>
      </c>
      <c r="DW300" t="s">
        <v>207</v>
      </c>
      <c r="DX300">
        <v>1</v>
      </c>
      <c r="EE300">
        <v>48752191</v>
      </c>
      <c r="EF300">
        <v>2</v>
      </c>
      <c r="EG300" t="s">
        <v>30</v>
      </c>
      <c r="EH300">
        <v>0</v>
      </c>
      <c r="EI300" t="s">
        <v>3</v>
      </c>
      <c r="EJ300">
        <v>1</v>
      </c>
      <c r="EK300">
        <v>1003</v>
      </c>
      <c r="EL300" t="s">
        <v>209</v>
      </c>
      <c r="EM300" t="s">
        <v>32</v>
      </c>
      <c r="EO300" t="s">
        <v>3</v>
      </c>
      <c r="EQ300">
        <v>131072</v>
      </c>
      <c r="ER300">
        <v>539.85</v>
      </c>
      <c r="ES300">
        <v>0</v>
      </c>
      <c r="ET300">
        <v>0</v>
      </c>
      <c r="EU300">
        <v>0</v>
      </c>
      <c r="EV300">
        <v>539.85</v>
      </c>
      <c r="EW300">
        <v>88.5</v>
      </c>
      <c r="EX300">
        <v>0</v>
      </c>
      <c r="EY300">
        <v>0</v>
      </c>
      <c r="FQ300">
        <v>0</v>
      </c>
      <c r="FR300">
        <f>ROUND(IF(AND(BH300=3,BI300=3),P300,0),0)</f>
        <v>0</v>
      </c>
      <c r="FS300">
        <v>0</v>
      </c>
      <c r="FU300" t="s">
        <v>33</v>
      </c>
      <c r="FX300">
        <v>80</v>
      </c>
      <c r="FY300">
        <v>38.25</v>
      </c>
      <c r="GA300" t="s">
        <v>3</v>
      </c>
      <c r="GD300">
        <v>1</v>
      </c>
      <c r="GF300">
        <v>-574956848</v>
      </c>
      <c r="GG300">
        <v>2</v>
      </c>
      <c r="GH300">
        <v>0</v>
      </c>
      <c r="GI300">
        <v>0</v>
      </c>
      <c r="GJ300">
        <v>0</v>
      </c>
      <c r="GK300">
        <v>0</v>
      </c>
      <c r="GL300">
        <f>ROUND(IF(AND(BH300=3,BI300=3,FS300&lt;&gt;0),P300,0),0)</f>
        <v>0</v>
      </c>
      <c r="GM300">
        <f>ROUND(O300+X300+Y300,0)+GX300</f>
        <v>2</v>
      </c>
      <c r="GN300">
        <f>IF(OR(BI300=0,BI300=1),ROUND(O300+X300+Y300,0),0)</f>
        <v>2</v>
      </c>
      <c r="GO300">
        <f>IF(BI300=2,ROUND(O300+X300+Y300,0),0)</f>
        <v>0</v>
      </c>
      <c r="GP300">
        <f>IF(BI300=4,ROUND(O300+X300+Y300,0)+GX300,0)</f>
        <v>0</v>
      </c>
      <c r="GR300">
        <v>0</v>
      </c>
      <c r="GS300">
        <v>0</v>
      </c>
      <c r="GT300">
        <v>0</v>
      </c>
      <c r="GU300" t="s">
        <v>3</v>
      </c>
      <c r="GV300">
        <f>ROUND((GT300),1)</f>
        <v>0</v>
      </c>
      <c r="GW300">
        <v>1</v>
      </c>
      <c r="GX300">
        <f>ROUND(HC300*I300,0)</f>
        <v>0</v>
      </c>
      <c r="HA300">
        <v>0</v>
      </c>
      <c r="HB300">
        <v>0</v>
      </c>
      <c r="HC300">
        <f>GV300*GW300</f>
        <v>0</v>
      </c>
      <c r="IK300">
        <v>0</v>
      </c>
    </row>
    <row r="302" spans="1:245" x14ac:dyDescent="0.2">
      <c r="A302" s="2">
        <v>51</v>
      </c>
      <c r="B302" s="2">
        <f>B293</f>
        <v>1</v>
      </c>
      <c r="C302" s="2">
        <f>A293</f>
        <v>5</v>
      </c>
      <c r="D302" s="2">
        <f>ROW(A293)</f>
        <v>293</v>
      </c>
      <c r="E302" s="2"/>
      <c r="F302" s="2" t="str">
        <f>IF(F293&lt;&gt;"",F293,"")</f>
        <v>Новый подраздел</v>
      </c>
      <c r="G302" s="2" t="str">
        <f>IF(G293&lt;&gt;"",G293,"")</f>
        <v>Установка урн</v>
      </c>
      <c r="H302" s="2">
        <v>0</v>
      </c>
      <c r="I302" s="2"/>
      <c r="J302" s="2"/>
      <c r="K302" s="2"/>
      <c r="L302" s="2"/>
      <c r="M302" s="2"/>
      <c r="N302" s="2"/>
      <c r="O302" s="2">
        <f t="shared" ref="O302:T302" si="259">ROUND(AB302,0)</f>
        <v>5192</v>
      </c>
      <c r="P302" s="2">
        <f t="shared" si="259"/>
        <v>5176</v>
      </c>
      <c r="Q302" s="2">
        <f t="shared" si="259"/>
        <v>4</v>
      </c>
      <c r="R302" s="2">
        <f t="shared" si="259"/>
        <v>1</v>
      </c>
      <c r="S302" s="2">
        <f t="shared" si="259"/>
        <v>12</v>
      </c>
      <c r="T302" s="2">
        <f t="shared" si="259"/>
        <v>0</v>
      </c>
      <c r="U302" s="2">
        <f>AH302</f>
        <v>1.8733499999999998</v>
      </c>
      <c r="V302" s="2">
        <f>AI302</f>
        <v>4.4999999999999998E-2</v>
      </c>
      <c r="W302" s="2">
        <f>ROUND(AJ302,0)</f>
        <v>0</v>
      </c>
      <c r="X302" s="2">
        <f>ROUND(AK302,0)</f>
        <v>11</v>
      </c>
      <c r="Y302" s="2">
        <f>ROUND(AL302,0)</f>
        <v>5</v>
      </c>
      <c r="Z302" s="2"/>
      <c r="AA302" s="2"/>
      <c r="AB302" s="2">
        <f>ROUND(SUMIF(AA297:AA300,"=50210945",O297:O300),0)</f>
        <v>5192</v>
      </c>
      <c r="AC302" s="2">
        <f>ROUND(SUMIF(AA297:AA300,"=50210945",P297:P300),0)</f>
        <v>5176</v>
      </c>
      <c r="AD302" s="2">
        <f>ROUND(SUMIF(AA297:AA300,"=50210945",Q297:Q300),0)</f>
        <v>4</v>
      </c>
      <c r="AE302" s="2">
        <f>ROUND(SUMIF(AA297:AA300,"=50210945",R297:R300),0)</f>
        <v>1</v>
      </c>
      <c r="AF302" s="2">
        <f>ROUND(SUMIF(AA297:AA300,"=50210945",S297:S300),0)</f>
        <v>12</v>
      </c>
      <c r="AG302" s="2">
        <f>ROUND(SUMIF(AA297:AA300,"=50210945",T297:T300),0)</f>
        <v>0</v>
      </c>
      <c r="AH302" s="2">
        <f>SUMIF(AA297:AA300,"=50210945",U297:U300)</f>
        <v>1.8733499999999998</v>
      </c>
      <c r="AI302" s="2">
        <f>SUMIF(AA297:AA300,"=50210945",V297:V300)</f>
        <v>4.4999999999999998E-2</v>
      </c>
      <c r="AJ302" s="2">
        <f>ROUND(SUMIF(AA297:AA300,"=50210945",W297:W300),0)</f>
        <v>0</v>
      </c>
      <c r="AK302" s="2">
        <f>ROUND(SUMIF(AA297:AA300,"=50210945",X297:X300),0)</f>
        <v>11</v>
      </c>
      <c r="AL302" s="2">
        <f>ROUND(SUMIF(AA297:AA300,"=50210945",Y297:Y300),0)</f>
        <v>5</v>
      </c>
      <c r="AM302" s="2"/>
      <c r="AN302" s="2"/>
      <c r="AO302" s="2">
        <f t="shared" ref="AO302:BD302" si="260">ROUND(BX302,0)</f>
        <v>0</v>
      </c>
      <c r="AP302" s="2">
        <f t="shared" si="260"/>
        <v>0</v>
      </c>
      <c r="AQ302" s="2">
        <f t="shared" si="260"/>
        <v>0</v>
      </c>
      <c r="AR302" s="2">
        <f t="shared" si="260"/>
        <v>5208</v>
      </c>
      <c r="AS302" s="2">
        <f t="shared" si="260"/>
        <v>5208</v>
      </c>
      <c r="AT302" s="2">
        <f t="shared" si="260"/>
        <v>0</v>
      </c>
      <c r="AU302" s="2">
        <f t="shared" si="260"/>
        <v>0</v>
      </c>
      <c r="AV302" s="2">
        <f t="shared" si="260"/>
        <v>5176</v>
      </c>
      <c r="AW302" s="2">
        <f t="shared" si="260"/>
        <v>5176</v>
      </c>
      <c r="AX302" s="2">
        <f t="shared" si="260"/>
        <v>0</v>
      </c>
      <c r="AY302" s="2">
        <f t="shared" si="260"/>
        <v>5176</v>
      </c>
      <c r="AZ302" s="2">
        <f t="shared" si="260"/>
        <v>0</v>
      </c>
      <c r="BA302" s="2">
        <f t="shared" si="260"/>
        <v>0</v>
      </c>
      <c r="BB302" s="2">
        <f t="shared" si="260"/>
        <v>0</v>
      </c>
      <c r="BC302" s="2">
        <f t="shared" si="260"/>
        <v>0</v>
      </c>
      <c r="BD302" s="2">
        <f t="shared" si="260"/>
        <v>0</v>
      </c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>
        <f>ROUND(SUMIF(AA297:AA300,"=50210945",FQ297:FQ300),0)</f>
        <v>0</v>
      </c>
      <c r="BY302" s="2">
        <f>ROUND(SUMIF(AA297:AA300,"=50210945",FR297:FR300),0)</f>
        <v>0</v>
      </c>
      <c r="BZ302" s="2">
        <f>ROUND(SUMIF(AA297:AA300,"=50210945",GL297:GL300),0)</f>
        <v>0</v>
      </c>
      <c r="CA302" s="2">
        <f>ROUND(SUMIF(AA297:AA300,"=50210945",GM297:GM300),0)</f>
        <v>5208</v>
      </c>
      <c r="CB302" s="2">
        <f>ROUND(SUMIF(AA297:AA300,"=50210945",GN297:GN300),0)</f>
        <v>5208</v>
      </c>
      <c r="CC302" s="2">
        <f>ROUND(SUMIF(AA297:AA300,"=50210945",GO297:GO300),0)</f>
        <v>0</v>
      </c>
      <c r="CD302" s="2">
        <f>ROUND(SUMIF(AA297:AA300,"=50210945",GP297:GP300),0)</f>
        <v>0</v>
      </c>
      <c r="CE302" s="2">
        <f>AC302-BX302</f>
        <v>5176</v>
      </c>
      <c r="CF302" s="2">
        <f>AC302-BY302</f>
        <v>5176</v>
      </c>
      <c r="CG302" s="2">
        <f>BX302-BZ302</f>
        <v>0</v>
      </c>
      <c r="CH302" s="2">
        <f>AC302-BX302-BY302+BZ302</f>
        <v>5176</v>
      </c>
      <c r="CI302" s="2">
        <f>BY302-BZ302</f>
        <v>0</v>
      </c>
      <c r="CJ302" s="2">
        <f>ROUND(SUMIF(AA297:AA300,"=50210945",GX297:GX300),0)</f>
        <v>0</v>
      </c>
      <c r="CK302" s="2">
        <f>ROUND(SUMIF(AA297:AA300,"=50210945",GY297:GY300),0)</f>
        <v>0</v>
      </c>
      <c r="CL302" s="2">
        <f>ROUND(SUMIF(AA297:AA300,"=50210945",GZ297:GZ300),0)</f>
        <v>0</v>
      </c>
      <c r="CM302" s="2">
        <f>ROUND(SUMIF(AA297:AA300,"=50210945",HD297:HD300),0)</f>
        <v>0</v>
      </c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3"/>
      <c r="DH302" s="3"/>
      <c r="DI302" s="3"/>
      <c r="DJ302" s="3"/>
      <c r="DK302" s="3"/>
      <c r="DL302" s="3"/>
      <c r="DM302" s="3"/>
      <c r="DN302" s="3"/>
      <c r="DO302" s="3"/>
      <c r="DP302" s="3"/>
      <c r="DQ302" s="3"/>
      <c r="DR302" s="3"/>
      <c r="DS302" s="3"/>
      <c r="DT302" s="3"/>
      <c r="DU302" s="3"/>
      <c r="DV302" s="3"/>
      <c r="DW302" s="3"/>
      <c r="DX302" s="3"/>
      <c r="DY302" s="3"/>
      <c r="DZ302" s="3"/>
      <c r="EA302" s="3"/>
      <c r="EB302" s="3"/>
      <c r="EC302" s="3"/>
      <c r="ED302" s="3"/>
      <c r="EE302" s="3"/>
      <c r="EF302" s="3"/>
      <c r="EG302" s="3"/>
      <c r="EH302" s="3"/>
      <c r="EI302" s="3"/>
      <c r="EJ302" s="3"/>
      <c r="EK302" s="3"/>
      <c r="EL302" s="3"/>
      <c r="EM302" s="3"/>
      <c r="EN302" s="3"/>
      <c r="EO302" s="3"/>
      <c r="EP302" s="3"/>
      <c r="EQ302" s="3"/>
      <c r="ER302" s="3"/>
      <c r="ES302" s="3"/>
      <c r="ET302" s="3"/>
      <c r="EU302" s="3"/>
      <c r="EV302" s="3"/>
      <c r="EW302" s="3"/>
      <c r="EX302" s="3"/>
      <c r="EY302" s="3"/>
      <c r="EZ302" s="3"/>
      <c r="FA302" s="3"/>
      <c r="FB302" s="3"/>
      <c r="FC302" s="3"/>
      <c r="FD302" s="3"/>
      <c r="FE302" s="3"/>
      <c r="FF302" s="3"/>
      <c r="FG302" s="3"/>
      <c r="FH302" s="3"/>
      <c r="FI302" s="3"/>
      <c r="FJ302" s="3"/>
      <c r="FK302" s="3"/>
      <c r="FL302" s="3"/>
      <c r="FM302" s="3"/>
      <c r="FN302" s="3"/>
      <c r="FO302" s="3"/>
      <c r="FP302" s="3"/>
      <c r="FQ302" s="3"/>
      <c r="FR302" s="3"/>
      <c r="FS302" s="3"/>
      <c r="FT302" s="3"/>
      <c r="FU302" s="3"/>
      <c r="FV302" s="3"/>
      <c r="FW302" s="3"/>
      <c r="FX302" s="3"/>
      <c r="FY302" s="3"/>
      <c r="FZ302" s="3"/>
      <c r="GA302" s="3"/>
      <c r="GB302" s="3"/>
      <c r="GC302" s="3"/>
      <c r="GD302" s="3"/>
      <c r="GE302" s="3"/>
      <c r="GF302" s="3"/>
      <c r="GG302" s="3"/>
      <c r="GH302" s="3"/>
      <c r="GI302" s="3"/>
      <c r="GJ302" s="3"/>
      <c r="GK302" s="3"/>
      <c r="GL302" s="3"/>
      <c r="GM302" s="3"/>
      <c r="GN302" s="3"/>
      <c r="GO302" s="3"/>
      <c r="GP302" s="3"/>
      <c r="GQ302" s="3"/>
      <c r="GR302" s="3"/>
      <c r="GS302" s="3"/>
      <c r="GT302" s="3"/>
      <c r="GU302" s="3"/>
      <c r="GV302" s="3"/>
      <c r="GW302" s="3"/>
      <c r="GX302" s="3">
        <v>0</v>
      </c>
    </row>
    <row r="304" spans="1:245" x14ac:dyDescent="0.2">
      <c r="A304" s="4">
        <v>50</v>
      </c>
      <c r="B304" s="4">
        <v>0</v>
      </c>
      <c r="C304" s="4">
        <v>0</v>
      </c>
      <c r="D304" s="4">
        <v>1</v>
      </c>
      <c r="E304" s="4">
        <v>201</v>
      </c>
      <c r="F304" s="4">
        <f>ROUND(Source!O302,O304)</f>
        <v>5192</v>
      </c>
      <c r="G304" s="4" t="s">
        <v>89</v>
      </c>
      <c r="H304" s="4" t="s">
        <v>90</v>
      </c>
      <c r="I304" s="4"/>
      <c r="J304" s="4"/>
      <c r="K304" s="4">
        <v>201</v>
      </c>
      <c r="L304" s="4">
        <v>1</v>
      </c>
      <c r="M304" s="4">
        <v>3</v>
      </c>
      <c r="N304" s="4" t="s">
        <v>3</v>
      </c>
      <c r="O304" s="4">
        <v>0</v>
      </c>
      <c r="P304" s="4"/>
      <c r="Q304" s="4"/>
      <c r="R304" s="4"/>
      <c r="S304" s="4"/>
      <c r="T304" s="4"/>
      <c r="U304" s="4"/>
      <c r="V304" s="4"/>
      <c r="W304" s="4"/>
    </row>
    <row r="305" spans="1:23" x14ac:dyDescent="0.2">
      <c r="A305" s="4">
        <v>50</v>
      </c>
      <c r="B305" s="4">
        <v>0</v>
      </c>
      <c r="C305" s="4">
        <v>0</v>
      </c>
      <c r="D305" s="4">
        <v>1</v>
      </c>
      <c r="E305" s="4">
        <v>202</v>
      </c>
      <c r="F305" s="4">
        <f>ROUND(Source!P302,O305)</f>
        <v>5176</v>
      </c>
      <c r="G305" s="4" t="s">
        <v>91</v>
      </c>
      <c r="H305" s="4" t="s">
        <v>92</v>
      </c>
      <c r="I305" s="4"/>
      <c r="J305" s="4"/>
      <c r="K305" s="4">
        <v>202</v>
      </c>
      <c r="L305" s="4">
        <v>2</v>
      </c>
      <c r="M305" s="4">
        <v>3</v>
      </c>
      <c r="N305" s="4" t="s">
        <v>3</v>
      </c>
      <c r="O305" s="4">
        <v>0</v>
      </c>
      <c r="P305" s="4"/>
      <c r="Q305" s="4"/>
      <c r="R305" s="4"/>
      <c r="S305" s="4"/>
      <c r="T305" s="4"/>
      <c r="U305" s="4"/>
      <c r="V305" s="4"/>
      <c r="W305" s="4"/>
    </row>
    <row r="306" spans="1:23" x14ac:dyDescent="0.2">
      <c r="A306" s="4">
        <v>50</v>
      </c>
      <c r="B306" s="4">
        <v>0</v>
      </c>
      <c r="C306" s="4">
        <v>0</v>
      </c>
      <c r="D306" s="4">
        <v>1</v>
      </c>
      <c r="E306" s="4">
        <v>222</v>
      </c>
      <c r="F306" s="4">
        <f>ROUND(Source!AO302,O306)</f>
        <v>0</v>
      </c>
      <c r="G306" s="4" t="s">
        <v>93</v>
      </c>
      <c r="H306" s="4" t="s">
        <v>94</v>
      </c>
      <c r="I306" s="4"/>
      <c r="J306" s="4"/>
      <c r="K306" s="4">
        <v>222</v>
      </c>
      <c r="L306" s="4">
        <v>3</v>
      </c>
      <c r="M306" s="4">
        <v>3</v>
      </c>
      <c r="N306" s="4" t="s">
        <v>3</v>
      </c>
      <c r="O306" s="4">
        <v>0</v>
      </c>
      <c r="P306" s="4"/>
      <c r="Q306" s="4"/>
      <c r="R306" s="4"/>
      <c r="S306" s="4"/>
      <c r="T306" s="4"/>
      <c r="U306" s="4"/>
      <c r="V306" s="4"/>
      <c r="W306" s="4"/>
    </row>
    <row r="307" spans="1:23" x14ac:dyDescent="0.2">
      <c r="A307" s="4">
        <v>50</v>
      </c>
      <c r="B307" s="4">
        <v>0</v>
      </c>
      <c r="C307" s="4">
        <v>0</v>
      </c>
      <c r="D307" s="4">
        <v>1</v>
      </c>
      <c r="E307" s="4">
        <v>225</v>
      </c>
      <c r="F307" s="4">
        <f>ROUND(Source!AV302,O307)</f>
        <v>5176</v>
      </c>
      <c r="G307" s="4" t="s">
        <v>95</v>
      </c>
      <c r="H307" s="4" t="s">
        <v>96</v>
      </c>
      <c r="I307" s="4"/>
      <c r="J307" s="4"/>
      <c r="K307" s="4">
        <v>225</v>
      </c>
      <c r="L307" s="4">
        <v>4</v>
      </c>
      <c r="M307" s="4">
        <v>3</v>
      </c>
      <c r="N307" s="4" t="s">
        <v>3</v>
      </c>
      <c r="O307" s="4">
        <v>0</v>
      </c>
      <c r="P307" s="4"/>
      <c r="Q307" s="4"/>
      <c r="R307" s="4"/>
      <c r="S307" s="4"/>
      <c r="T307" s="4"/>
      <c r="U307" s="4"/>
      <c r="V307" s="4"/>
      <c r="W307" s="4"/>
    </row>
    <row r="308" spans="1:23" x14ac:dyDescent="0.2">
      <c r="A308" s="4">
        <v>50</v>
      </c>
      <c r="B308" s="4">
        <v>0</v>
      </c>
      <c r="C308" s="4">
        <v>0</v>
      </c>
      <c r="D308" s="4">
        <v>1</v>
      </c>
      <c r="E308" s="4">
        <v>226</v>
      </c>
      <c r="F308" s="4">
        <f>ROUND(Source!AW302,O308)</f>
        <v>5176</v>
      </c>
      <c r="G308" s="4" t="s">
        <v>97</v>
      </c>
      <c r="H308" s="4" t="s">
        <v>98</v>
      </c>
      <c r="I308" s="4"/>
      <c r="J308" s="4"/>
      <c r="K308" s="4">
        <v>226</v>
      </c>
      <c r="L308" s="4">
        <v>5</v>
      </c>
      <c r="M308" s="4">
        <v>3</v>
      </c>
      <c r="N308" s="4" t="s">
        <v>3</v>
      </c>
      <c r="O308" s="4">
        <v>0</v>
      </c>
      <c r="P308" s="4"/>
      <c r="Q308" s="4"/>
      <c r="R308" s="4"/>
      <c r="S308" s="4"/>
      <c r="T308" s="4"/>
      <c r="U308" s="4"/>
      <c r="V308" s="4"/>
      <c r="W308" s="4"/>
    </row>
    <row r="309" spans="1:23" x14ac:dyDescent="0.2">
      <c r="A309" s="4">
        <v>50</v>
      </c>
      <c r="B309" s="4">
        <v>0</v>
      </c>
      <c r="C309" s="4">
        <v>0</v>
      </c>
      <c r="D309" s="4">
        <v>1</v>
      </c>
      <c r="E309" s="4">
        <v>227</v>
      </c>
      <c r="F309" s="4">
        <f>ROUND(Source!AX302,O309)</f>
        <v>0</v>
      </c>
      <c r="G309" s="4" t="s">
        <v>99</v>
      </c>
      <c r="H309" s="4" t="s">
        <v>100</v>
      </c>
      <c r="I309" s="4"/>
      <c r="J309" s="4"/>
      <c r="K309" s="4">
        <v>227</v>
      </c>
      <c r="L309" s="4">
        <v>6</v>
      </c>
      <c r="M309" s="4">
        <v>3</v>
      </c>
      <c r="N309" s="4" t="s">
        <v>3</v>
      </c>
      <c r="O309" s="4">
        <v>0</v>
      </c>
      <c r="P309" s="4"/>
      <c r="Q309" s="4"/>
      <c r="R309" s="4"/>
      <c r="S309" s="4"/>
      <c r="T309" s="4"/>
      <c r="U309" s="4"/>
      <c r="V309" s="4"/>
      <c r="W309" s="4"/>
    </row>
    <row r="310" spans="1:23" x14ac:dyDescent="0.2">
      <c r="A310" s="4">
        <v>50</v>
      </c>
      <c r="B310" s="4">
        <v>0</v>
      </c>
      <c r="C310" s="4">
        <v>0</v>
      </c>
      <c r="D310" s="4">
        <v>1</v>
      </c>
      <c r="E310" s="4">
        <v>228</v>
      </c>
      <c r="F310" s="4">
        <f>ROUND(Source!AY302,O310)</f>
        <v>5176</v>
      </c>
      <c r="G310" s="4" t="s">
        <v>101</v>
      </c>
      <c r="H310" s="4" t="s">
        <v>102</v>
      </c>
      <c r="I310" s="4"/>
      <c r="J310" s="4"/>
      <c r="K310" s="4">
        <v>228</v>
      </c>
      <c r="L310" s="4">
        <v>7</v>
      </c>
      <c r="M310" s="4">
        <v>3</v>
      </c>
      <c r="N310" s="4" t="s">
        <v>3</v>
      </c>
      <c r="O310" s="4">
        <v>0</v>
      </c>
      <c r="P310" s="4"/>
      <c r="Q310" s="4"/>
      <c r="R310" s="4"/>
      <c r="S310" s="4"/>
      <c r="T310" s="4"/>
      <c r="U310" s="4"/>
      <c r="V310" s="4"/>
      <c r="W310" s="4"/>
    </row>
    <row r="311" spans="1:23" x14ac:dyDescent="0.2">
      <c r="A311" s="4">
        <v>50</v>
      </c>
      <c r="B311" s="4">
        <v>0</v>
      </c>
      <c r="C311" s="4">
        <v>0</v>
      </c>
      <c r="D311" s="4">
        <v>1</v>
      </c>
      <c r="E311" s="4">
        <v>216</v>
      </c>
      <c r="F311" s="4">
        <f>ROUND(Source!AP302,O311)</f>
        <v>0</v>
      </c>
      <c r="G311" s="4" t="s">
        <v>103</v>
      </c>
      <c r="H311" s="4" t="s">
        <v>104</v>
      </c>
      <c r="I311" s="4"/>
      <c r="J311" s="4"/>
      <c r="K311" s="4">
        <v>216</v>
      </c>
      <c r="L311" s="4">
        <v>8</v>
      </c>
      <c r="M311" s="4">
        <v>3</v>
      </c>
      <c r="N311" s="4" t="s">
        <v>3</v>
      </c>
      <c r="O311" s="4">
        <v>0</v>
      </c>
      <c r="P311" s="4"/>
      <c r="Q311" s="4"/>
      <c r="R311" s="4"/>
      <c r="S311" s="4"/>
      <c r="T311" s="4"/>
      <c r="U311" s="4"/>
      <c r="V311" s="4"/>
      <c r="W311" s="4"/>
    </row>
    <row r="312" spans="1:23" x14ac:dyDescent="0.2">
      <c r="A312" s="4">
        <v>50</v>
      </c>
      <c r="B312" s="4">
        <v>0</v>
      </c>
      <c r="C312" s="4">
        <v>0</v>
      </c>
      <c r="D312" s="4">
        <v>1</v>
      </c>
      <c r="E312" s="4">
        <v>223</v>
      </c>
      <c r="F312" s="4">
        <f>ROUND(Source!AQ302,O312)</f>
        <v>0</v>
      </c>
      <c r="G312" s="4" t="s">
        <v>105</v>
      </c>
      <c r="H312" s="4" t="s">
        <v>106</v>
      </c>
      <c r="I312" s="4"/>
      <c r="J312" s="4"/>
      <c r="K312" s="4">
        <v>223</v>
      </c>
      <c r="L312" s="4">
        <v>9</v>
      </c>
      <c r="M312" s="4">
        <v>3</v>
      </c>
      <c r="N312" s="4" t="s">
        <v>3</v>
      </c>
      <c r="O312" s="4">
        <v>0</v>
      </c>
      <c r="P312" s="4"/>
      <c r="Q312" s="4"/>
      <c r="R312" s="4"/>
      <c r="S312" s="4"/>
      <c r="T312" s="4"/>
      <c r="U312" s="4"/>
      <c r="V312" s="4"/>
      <c r="W312" s="4"/>
    </row>
    <row r="313" spans="1:23" x14ac:dyDescent="0.2">
      <c r="A313" s="4">
        <v>50</v>
      </c>
      <c r="B313" s="4">
        <v>0</v>
      </c>
      <c r="C313" s="4">
        <v>0</v>
      </c>
      <c r="D313" s="4">
        <v>1</v>
      </c>
      <c r="E313" s="4">
        <v>229</v>
      </c>
      <c r="F313" s="4">
        <f>ROUND(Source!AZ302,O313)</f>
        <v>0</v>
      </c>
      <c r="G313" s="4" t="s">
        <v>107</v>
      </c>
      <c r="H313" s="4" t="s">
        <v>108</v>
      </c>
      <c r="I313" s="4"/>
      <c r="J313" s="4"/>
      <c r="K313" s="4">
        <v>229</v>
      </c>
      <c r="L313" s="4">
        <v>10</v>
      </c>
      <c r="M313" s="4">
        <v>3</v>
      </c>
      <c r="N313" s="4" t="s">
        <v>3</v>
      </c>
      <c r="O313" s="4">
        <v>0</v>
      </c>
      <c r="P313" s="4"/>
      <c r="Q313" s="4"/>
      <c r="R313" s="4"/>
      <c r="S313" s="4"/>
      <c r="T313" s="4"/>
      <c r="U313" s="4"/>
      <c r="V313" s="4"/>
      <c r="W313" s="4"/>
    </row>
    <row r="314" spans="1:23" x14ac:dyDescent="0.2">
      <c r="A314" s="4">
        <v>50</v>
      </c>
      <c r="B314" s="4">
        <v>0</v>
      </c>
      <c r="C314" s="4">
        <v>0</v>
      </c>
      <c r="D314" s="4">
        <v>1</v>
      </c>
      <c r="E314" s="4">
        <v>203</v>
      </c>
      <c r="F314" s="4">
        <f>ROUND(Source!Q302,O314)</f>
        <v>4</v>
      </c>
      <c r="G314" s="4" t="s">
        <v>109</v>
      </c>
      <c r="H314" s="4" t="s">
        <v>110</v>
      </c>
      <c r="I314" s="4"/>
      <c r="J314" s="4"/>
      <c r="K314" s="4">
        <v>203</v>
      </c>
      <c r="L314" s="4">
        <v>11</v>
      </c>
      <c r="M314" s="4">
        <v>3</v>
      </c>
      <c r="N314" s="4" t="s">
        <v>3</v>
      </c>
      <c r="O314" s="4">
        <v>0</v>
      </c>
      <c r="P314" s="4"/>
      <c r="Q314" s="4"/>
      <c r="R314" s="4"/>
      <c r="S314" s="4"/>
      <c r="T314" s="4"/>
      <c r="U314" s="4"/>
      <c r="V314" s="4"/>
      <c r="W314" s="4"/>
    </row>
    <row r="315" spans="1:23" x14ac:dyDescent="0.2">
      <c r="A315" s="4">
        <v>50</v>
      </c>
      <c r="B315" s="4">
        <v>0</v>
      </c>
      <c r="C315" s="4">
        <v>0</v>
      </c>
      <c r="D315" s="4">
        <v>1</v>
      </c>
      <c r="E315" s="4">
        <v>231</v>
      </c>
      <c r="F315" s="4">
        <f>ROUND(Source!BB302,O315)</f>
        <v>0</v>
      </c>
      <c r="G315" s="4" t="s">
        <v>111</v>
      </c>
      <c r="H315" s="4" t="s">
        <v>112</v>
      </c>
      <c r="I315" s="4"/>
      <c r="J315" s="4"/>
      <c r="K315" s="4">
        <v>231</v>
      </c>
      <c r="L315" s="4">
        <v>12</v>
      </c>
      <c r="M315" s="4">
        <v>3</v>
      </c>
      <c r="N315" s="4" t="s">
        <v>3</v>
      </c>
      <c r="O315" s="4">
        <v>0</v>
      </c>
      <c r="P315" s="4"/>
      <c r="Q315" s="4"/>
      <c r="R315" s="4"/>
      <c r="S315" s="4"/>
      <c r="T315" s="4"/>
      <c r="U315" s="4"/>
      <c r="V315" s="4"/>
      <c r="W315" s="4"/>
    </row>
    <row r="316" spans="1:23" x14ac:dyDescent="0.2">
      <c r="A316" s="4">
        <v>50</v>
      </c>
      <c r="B316" s="4">
        <v>0</v>
      </c>
      <c r="C316" s="4">
        <v>0</v>
      </c>
      <c r="D316" s="4">
        <v>1</v>
      </c>
      <c r="E316" s="4">
        <v>204</v>
      </c>
      <c r="F316" s="4">
        <f>ROUND(Source!R302,O316)</f>
        <v>1</v>
      </c>
      <c r="G316" s="4" t="s">
        <v>113</v>
      </c>
      <c r="H316" s="4" t="s">
        <v>114</v>
      </c>
      <c r="I316" s="4"/>
      <c r="J316" s="4"/>
      <c r="K316" s="4">
        <v>204</v>
      </c>
      <c r="L316" s="4">
        <v>13</v>
      </c>
      <c r="M316" s="4">
        <v>3</v>
      </c>
      <c r="N316" s="4" t="s">
        <v>3</v>
      </c>
      <c r="O316" s="4">
        <v>0</v>
      </c>
      <c r="P316" s="4"/>
      <c r="Q316" s="4"/>
      <c r="R316" s="4"/>
      <c r="S316" s="4"/>
      <c r="T316" s="4"/>
      <c r="U316" s="4"/>
      <c r="V316" s="4"/>
      <c r="W316" s="4"/>
    </row>
    <row r="317" spans="1:23" x14ac:dyDescent="0.2">
      <c r="A317" s="4">
        <v>50</v>
      </c>
      <c r="B317" s="4">
        <v>0</v>
      </c>
      <c r="C317" s="4">
        <v>0</v>
      </c>
      <c r="D317" s="4">
        <v>1</v>
      </c>
      <c r="E317" s="4">
        <v>205</v>
      </c>
      <c r="F317" s="4">
        <f>ROUND(Source!S302,O317)</f>
        <v>12</v>
      </c>
      <c r="G317" s="4" t="s">
        <v>115</v>
      </c>
      <c r="H317" s="4" t="s">
        <v>116</v>
      </c>
      <c r="I317" s="4"/>
      <c r="J317" s="4"/>
      <c r="K317" s="4">
        <v>205</v>
      </c>
      <c r="L317" s="4">
        <v>14</v>
      </c>
      <c r="M317" s="4">
        <v>3</v>
      </c>
      <c r="N317" s="4" t="s">
        <v>3</v>
      </c>
      <c r="O317" s="4">
        <v>0</v>
      </c>
      <c r="P317" s="4"/>
      <c r="Q317" s="4"/>
      <c r="R317" s="4"/>
      <c r="S317" s="4"/>
      <c r="T317" s="4"/>
      <c r="U317" s="4"/>
      <c r="V317" s="4"/>
      <c r="W317" s="4"/>
    </row>
    <row r="318" spans="1:23" x14ac:dyDescent="0.2">
      <c r="A318" s="4">
        <v>50</v>
      </c>
      <c r="B318" s="4">
        <v>0</v>
      </c>
      <c r="C318" s="4">
        <v>0</v>
      </c>
      <c r="D318" s="4">
        <v>1</v>
      </c>
      <c r="E318" s="4">
        <v>232</v>
      </c>
      <c r="F318" s="4">
        <f>ROUND(Source!BC302,O318)</f>
        <v>0</v>
      </c>
      <c r="G318" s="4" t="s">
        <v>117</v>
      </c>
      <c r="H318" s="4" t="s">
        <v>118</v>
      </c>
      <c r="I318" s="4"/>
      <c r="J318" s="4"/>
      <c r="K318" s="4">
        <v>232</v>
      </c>
      <c r="L318" s="4">
        <v>15</v>
      </c>
      <c r="M318" s="4">
        <v>3</v>
      </c>
      <c r="N318" s="4" t="s">
        <v>3</v>
      </c>
      <c r="O318" s="4">
        <v>0</v>
      </c>
      <c r="P318" s="4"/>
      <c r="Q318" s="4"/>
      <c r="R318" s="4"/>
      <c r="S318" s="4"/>
      <c r="T318" s="4"/>
      <c r="U318" s="4"/>
      <c r="V318" s="4"/>
      <c r="W318" s="4"/>
    </row>
    <row r="319" spans="1:23" x14ac:dyDescent="0.2">
      <c r="A319" s="4">
        <v>50</v>
      </c>
      <c r="B319" s="4">
        <v>0</v>
      </c>
      <c r="C319" s="4">
        <v>0</v>
      </c>
      <c r="D319" s="4">
        <v>1</v>
      </c>
      <c r="E319" s="4">
        <v>214</v>
      </c>
      <c r="F319" s="4">
        <f>ROUND(Source!AS302,O319)</f>
        <v>5208</v>
      </c>
      <c r="G319" s="4" t="s">
        <v>119</v>
      </c>
      <c r="H319" s="4" t="s">
        <v>120</v>
      </c>
      <c r="I319" s="4"/>
      <c r="J319" s="4"/>
      <c r="K319" s="4">
        <v>214</v>
      </c>
      <c r="L319" s="4">
        <v>16</v>
      </c>
      <c r="M319" s="4">
        <v>3</v>
      </c>
      <c r="N319" s="4" t="s">
        <v>3</v>
      </c>
      <c r="O319" s="4">
        <v>0</v>
      </c>
      <c r="P319" s="4"/>
      <c r="Q319" s="4"/>
      <c r="R319" s="4"/>
      <c r="S319" s="4"/>
      <c r="T319" s="4"/>
      <c r="U319" s="4"/>
      <c r="V319" s="4"/>
      <c r="W319" s="4"/>
    </row>
    <row r="320" spans="1:23" x14ac:dyDescent="0.2">
      <c r="A320" s="4">
        <v>50</v>
      </c>
      <c r="B320" s="4">
        <v>0</v>
      </c>
      <c r="C320" s="4">
        <v>0</v>
      </c>
      <c r="D320" s="4">
        <v>1</v>
      </c>
      <c r="E320" s="4">
        <v>215</v>
      </c>
      <c r="F320" s="4">
        <f>ROUND(Source!AT302,O320)</f>
        <v>0</v>
      </c>
      <c r="G320" s="4" t="s">
        <v>121</v>
      </c>
      <c r="H320" s="4" t="s">
        <v>122</v>
      </c>
      <c r="I320" s="4"/>
      <c r="J320" s="4"/>
      <c r="K320" s="4">
        <v>215</v>
      </c>
      <c r="L320" s="4">
        <v>17</v>
      </c>
      <c r="M320" s="4">
        <v>3</v>
      </c>
      <c r="N320" s="4" t="s">
        <v>3</v>
      </c>
      <c r="O320" s="4">
        <v>0</v>
      </c>
      <c r="P320" s="4"/>
      <c r="Q320" s="4"/>
      <c r="R320" s="4"/>
      <c r="S320" s="4"/>
      <c r="T320" s="4"/>
      <c r="U320" s="4"/>
      <c r="V320" s="4"/>
      <c r="W320" s="4"/>
    </row>
    <row r="321" spans="1:245" x14ac:dyDescent="0.2">
      <c r="A321" s="4">
        <v>50</v>
      </c>
      <c r="B321" s="4">
        <v>0</v>
      </c>
      <c r="C321" s="4">
        <v>0</v>
      </c>
      <c r="D321" s="4">
        <v>1</v>
      </c>
      <c r="E321" s="4">
        <v>217</v>
      </c>
      <c r="F321" s="4">
        <f>ROUND(Source!AU302,O321)</f>
        <v>0</v>
      </c>
      <c r="G321" s="4" t="s">
        <v>123</v>
      </c>
      <c r="H321" s="4" t="s">
        <v>124</v>
      </c>
      <c r="I321" s="4"/>
      <c r="J321" s="4"/>
      <c r="K321" s="4">
        <v>217</v>
      </c>
      <c r="L321" s="4">
        <v>18</v>
      </c>
      <c r="M321" s="4">
        <v>3</v>
      </c>
      <c r="N321" s="4" t="s">
        <v>3</v>
      </c>
      <c r="O321" s="4">
        <v>0</v>
      </c>
      <c r="P321" s="4"/>
      <c r="Q321" s="4"/>
      <c r="R321" s="4"/>
      <c r="S321" s="4"/>
      <c r="T321" s="4"/>
      <c r="U321" s="4"/>
      <c r="V321" s="4"/>
      <c r="W321" s="4"/>
    </row>
    <row r="322" spans="1:245" x14ac:dyDescent="0.2">
      <c r="A322" s="4">
        <v>50</v>
      </c>
      <c r="B322" s="4">
        <v>0</v>
      </c>
      <c r="C322" s="4">
        <v>0</v>
      </c>
      <c r="D322" s="4">
        <v>1</v>
      </c>
      <c r="E322" s="4">
        <v>230</v>
      </c>
      <c r="F322" s="4">
        <f>ROUND(Source!BA302,O322)</f>
        <v>0</v>
      </c>
      <c r="G322" s="4" t="s">
        <v>125</v>
      </c>
      <c r="H322" s="4" t="s">
        <v>126</v>
      </c>
      <c r="I322" s="4"/>
      <c r="J322" s="4"/>
      <c r="K322" s="4">
        <v>230</v>
      </c>
      <c r="L322" s="4">
        <v>19</v>
      </c>
      <c r="M322" s="4">
        <v>3</v>
      </c>
      <c r="N322" s="4" t="s">
        <v>3</v>
      </c>
      <c r="O322" s="4">
        <v>0</v>
      </c>
      <c r="P322" s="4"/>
      <c r="Q322" s="4"/>
      <c r="R322" s="4"/>
      <c r="S322" s="4"/>
      <c r="T322" s="4"/>
      <c r="U322" s="4"/>
      <c r="V322" s="4"/>
      <c r="W322" s="4"/>
    </row>
    <row r="323" spans="1:245" x14ac:dyDescent="0.2">
      <c r="A323" s="4">
        <v>50</v>
      </c>
      <c r="B323" s="4">
        <v>0</v>
      </c>
      <c r="C323" s="4">
        <v>0</v>
      </c>
      <c r="D323" s="4">
        <v>1</v>
      </c>
      <c r="E323" s="4">
        <v>206</v>
      </c>
      <c r="F323" s="4">
        <f>ROUND(Source!T302,O323)</f>
        <v>0</v>
      </c>
      <c r="G323" s="4" t="s">
        <v>127</v>
      </c>
      <c r="H323" s="4" t="s">
        <v>128</v>
      </c>
      <c r="I323" s="4"/>
      <c r="J323" s="4"/>
      <c r="K323" s="4">
        <v>206</v>
      </c>
      <c r="L323" s="4">
        <v>20</v>
      </c>
      <c r="M323" s="4">
        <v>3</v>
      </c>
      <c r="N323" s="4" t="s">
        <v>3</v>
      </c>
      <c r="O323" s="4">
        <v>0</v>
      </c>
      <c r="P323" s="4"/>
      <c r="Q323" s="4"/>
      <c r="R323" s="4"/>
      <c r="S323" s="4"/>
      <c r="T323" s="4"/>
      <c r="U323" s="4"/>
      <c r="V323" s="4"/>
      <c r="W323" s="4"/>
    </row>
    <row r="324" spans="1:245" x14ac:dyDescent="0.2">
      <c r="A324" s="4">
        <v>50</v>
      </c>
      <c r="B324" s="4">
        <v>0</v>
      </c>
      <c r="C324" s="4">
        <v>0</v>
      </c>
      <c r="D324" s="4">
        <v>1</v>
      </c>
      <c r="E324" s="4">
        <v>207</v>
      </c>
      <c r="F324" s="4">
        <f>Source!U302</f>
        <v>1.8733499999999998</v>
      </c>
      <c r="G324" s="4" t="s">
        <v>129</v>
      </c>
      <c r="H324" s="4" t="s">
        <v>130</v>
      </c>
      <c r="I324" s="4"/>
      <c r="J324" s="4"/>
      <c r="K324" s="4">
        <v>207</v>
      </c>
      <c r="L324" s="4">
        <v>21</v>
      </c>
      <c r="M324" s="4">
        <v>3</v>
      </c>
      <c r="N324" s="4" t="s">
        <v>3</v>
      </c>
      <c r="O324" s="4">
        <v>-1</v>
      </c>
      <c r="P324" s="4"/>
      <c r="Q324" s="4"/>
      <c r="R324" s="4"/>
      <c r="S324" s="4"/>
      <c r="T324" s="4"/>
      <c r="U324" s="4"/>
      <c r="V324" s="4"/>
      <c r="W324" s="4"/>
    </row>
    <row r="325" spans="1:245" x14ac:dyDescent="0.2">
      <c r="A325" s="4">
        <v>50</v>
      </c>
      <c r="B325" s="4">
        <v>0</v>
      </c>
      <c r="C325" s="4">
        <v>0</v>
      </c>
      <c r="D325" s="4">
        <v>1</v>
      </c>
      <c r="E325" s="4">
        <v>208</v>
      </c>
      <c r="F325" s="4">
        <f>Source!V302</f>
        <v>4.4999999999999998E-2</v>
      </c>
      <c r="G325" s="4" t="s">
        <v>131</v>
      </c>
      <c r="H325" s="4" t="s">
        <v>132</v>
      </c>
      <c r="I325" s="4"/>
      <c r="J325" s="4"/>
      <c r="K325" s="4">
        <v>208</v>
      </c>
      <c r="L325" s="4">
        <v>22</v>
      </c>
      <c r="M325" s="4">
        <v>3</v>
      </c>
      <c r="N325" s="4" t="s">
        <v>3</v>
      </c>
      <c r="O325" s="4">
        <v>-1</v>
      </c>
      <c r="P325" s="4"/>
      <c r="Q325" s="4"/>
      <c r="R325" s="4"/>
      <c r="S325" s="4"/>
      <c r="T325" s="4"/>
      <c r="U325" s="4"/>
      <c r="V325" s="4"/>
      <c r="W325" s="4"/>
    </row>
    <row r="326" spans="1:245" x14ac:dyDescent="0.2">
      <c r="A326" s="4">
        <v>50</v>
      </c>
      <c r="B326" s="4">
        <v>0</v>
      </c>
      <c r="C326" s="4">
        <v>0</v>
      </c>
      <c r="D326" s="4">
        <v>1</v>
      </c>
      <c r="E326" s="4">
        <v>209</v>
      </c>
      <c r="F326" s="4">
        <f>ROUND(Source!W302,O326)</f>
        <v>0</v>
      </c>
      <c r="G326" s="4" t="s">
        <v>133</v>
      </c>
      <c r="H326" s="4" t="s">
        <v>134</v>
      </c>
      <c r="I326" s="4"/>
      <c r="J326" s="4"/>
      <c r="K326" s="4">
        <v>209</v>
      </c>
      <c r="L326" s="4">
        <v>23</v>
      </c>
      <c r="M326" s="4">
        <v>3</v>
      </c>
      <c r="N326" s="4" t="s">
        <v>3</v>
      </c>
      <c r="O326" s="4">
        <v>0</v>
      </c>
      <c r="P326" s="4"/>
      <c r="Q326" s="4"/>
      <c r="R326" s="4"/>
      <c r="S326" s="4"/>
      <c r="T326" s="4"/>
      <c r="U326" s="4"/>
      <c r="V326" s="4"/>
      <c r="W326" s="4"/>
    </row>
    <row r="327" spans="1:245" x14ac:dyDescent="0.2">
      <c r="A327" s="4">
        <v>50</v>
      </c>
      <c r="B327" s="4">
        <v>0</v>
      </c>
      <c r="C327" s="4">
        <v>0</v>
      </c>
      <c r="D327" s="4">
        <v>1</v>
      </c>
      <c r="E327" s="4">
        <v>233</v>
      </c>
      <c r="F327" s="4">
        <f>ROUND(Source!BD302,O327)</f>
        <v>0</v>
      </c>
      <c r="G327" s="4" t="s">
        <v>135</v>
      </c>
      <c r="H327" s="4" t="s">
        <v>136</v>
      </c>
      <c r="I327" s="4"/>
      <c r="J327" s="4"/>
      <c r="K327" s="4">
        <v>233</v>
      </c>
      <c r="L327" s="4">
        <v>24</v>
      </c>
      <c r="M327" s="4">
        <v>3</v>
      </c>
      <c r="N327" s="4" t="s">
        <v>3</v>
      </c>
      <c r="O327" s="4">
        <v>0</v>
      </c>
      <c r="P327" s="4"/>
      <c r="Q327" s="4"/>
      <c r="R327" s="4"/>
      <c r="S327" s="4"/>
      <c r="T327" s="4"/>
      <c r="U327" s="4"/>
      <c r="V327" s="4"/>
      <c r="W327" s="4"/>
    </row>
    <row r="328" spans="1:245" x14ac:dyDescent="0.2">
      <c r="A328" s="4">
        <v>50</v>
      </c>
      <c r="B328" s="4">
        <v>0</v>
      </c>
      <c r="C328" s="4">
        <v>0</v>
      </c>
      <c r="D328" s="4">
        <v>1</v>
      </c>
      <c r="E328" s="4">
        <v>210</v>
      </c>
      <c r="F328" s="4">
        <f>ROUND(Source!X302,O328)</f>
        <v>11</v>
      </c>
      <c r="G328" s="4" t="s">
        <v>137</v>
      </c>
      <c r="H328" s="4" t="s">
        <v>138</v>
      </c>
      <c r="I328" s="4"/>
      <c r="J328" s="4"/>
      <c r="K328" s="4">
        <v>210</v>
      </c>
      <c r="L328" s="4">
        <v>25</v>
      </c>
      <c r="M328" s="4">
        <v>3</v>
      </c>
      <c r="N328" s="4" t="s">
        <v>3</v>
      </c>
      <c r="O328" s="4">
        <v>0</v>
      </c>
      <c r="P328" s="4"/>
      <c r="Q328" s="4"/>
      <c r="R328" s="4"/>
      <c r="S328" s="4"/>
      <c r="T328" s="4"/>
      <c r="U328" s="4"/>
      <c r="V328" s="4"/>
      <c r="W328" s="4"/>
    </row>
    <row r="329" spans="1:245" x14ac:dyDescent="0.2">
      <c r="A329" s="4">
        <v>50</v>
      </c>
      <c r="B329" s="4">
        <v>0</v>
      </c>
      <c r="C329" s="4">
        <v>0</v>
      </c>
      <c r="D329" s="4">
        <v>1</v>
      </c>
      <c r="E329" s="4">
        <v>211</v>
      </c>
      <c r="F329" s="4">
        <f>ROUND(Source!Y302,O329)</f>
        <v>5</v>
      </c>
      <c r="G329" s="4" t="s">
        <v>139</v>
      </c>
      <c r="H329" s="4" t="s">
        <v>140</v>
      </c>
      <c r="I329" s="4"/>
      <c r="J329" s="4"/>
      <c r="K329" s="4">
        <v>211</v>
      </c>
      <c r="L329" s="4">
        <v>26</v>
      </c>
      <c r="M329" s="4">
        <v>3</v>
      </c>
      <c r="N329" s="4" t="s">
        <v>3</v>
      </c>
      <c r="O329" s="4">
        <v>0</v>
      </c>
      <c r="P329" s="4"/>
      <c r="Q329" s="4"/>
      <c r="R329" s="4"/>
      <c r="S329" s="4"/>
      <c r="T329" s="4"/>
      <c r="U329" s="4"/>
      <c r="V329" s="4"/>
      <c r="W329" s="4"/>
    </row>
    <row r="330" spans="1:245" x14ac:dyDescent="0.2">
      <c r="A330" s="4">
        <v>50</v>
      </c>
      <c r="B330" s="4">
        <v>0</v>
      </c>
      <c r="C330" s="4">
        <v>0</v>
      </c>
      <c r="D330" s="4">
        <v>1</v>
      </c>
      <c r="E330" s="4">
        <v>224</v>
      </c>
      <c r="F330" s="4">
        <f>ROUND(Source!AR302,O330)</f>
        <v>5208</v>
      </c>
      <c r="G330" s="4" t="s">
        <v>141</v>
      </c>
      <c r="H330" s="4" t="s">
        <v>142</v>
      </c>
      <c r="I330" s="4"/>
      <c r="J330" s="4"/>
      <c r="K330" s="4">
        <v>224</v>
      </c>
      <c r="L330" s="4">
        <v>27</v>
      </c>
      <c r="M330" s="4">
        <v>3</v>
      </c>
      <c r="N330" s="4" t="s">
        <v>3</v>
      </c>
      <c r="O330" s="4">
        <v>0</v>
      </c>
      <c r="P330" s="4"/>
      <c r="Q330" s="4"/>
      <c r="R330" s="4"/>
      <c r="S330" s="4"/>
      <c r="T330" s="4"/>
      <c r="U330" s="4"/>
      <c r="V330" s="4"/>
      <c r="W330" s="4"/>
    </row>
    <row r="332" spans="1:245" x14ac:dyDescent="0.2">
      <c r="A332" s="1">
        <v>5</v>
      </c>
      <c r="B332" s="1">
        <v>1</v>
      </c>
      <c r="C332" s="1"/>
      <c r="D332" s="1">
        <f>ROW(A341)</f>
        <v>341</v>
      </c>
      <c r="E332" s="1"/>
      <c r="F332" s="1" t="s">
        <v>15</v>
      </c>
      <c r="G332" s="1" t="s">
        <v>301</v>
      </c>
      <c r="H332" s="1" t="s">
        <v>3</v>
      </c>
      <c r="I332" s="1">
        <v>0</v>
      </c>
      <c r="J332" s="1"/>
      <c r="K332" s="1">
        <v>0</v>
      </c>
      <c r="L332" s="1"/>
      <c r="M332" s="1"/>
      <c r="N332" s="1"/>
      <c r="O332" s="1"/>
      <c r="P332" s="1"/>
      <c r="Q332" s="1"/>
      <c r="R332" s="1"/>
      <c r="S332" s="1"/>
      <c r="T332" s="1"/>
      <c r="U332" s="1" t="s">
        <v>3</v>
      </c>
      <c r="V332" s="1">
        <v>0</v>
      </c>
      <c r="W332" s="1"/>
      <c r="X332" s="1"/>
      <c r="Y332" s="1"/>
      <c r="Z332" s="1"/>
      <c r="AA332" s="1"/>
      <c r="AB332" s="1" t="s">
        <v>3</v>
      </c>
      <c r="AC332" s="1" t="s">
        <v>3</v>
      </c>
      <c r="AD332" s="1" t="s">
        <v>3</v>
      </c>
      <c r="AE332" s="1" t="s">
        <v>3</v>
      </c>
      <c r="AF332" s="1" t="s">
        <v>3</v>
      </c>
      <c r="AG332" s="1" t="s">
        <v>3</v>
      </c>
      <c r="AH332" s="1"/>
      <c r="AI332" s="1"/>
      <c r="AJ332" s="1"/>
      <c r="AK332" s="1"/>
      <c r="AL332" s="1"/>
      <c r="AM332" s="1"/>
      <c r="AN332" s="1"/>
      <c r="AO332" s="1"/>
      <c r="AP332" s="1" t="s">
        <v>3</v>
      </c>
      <c r="AQ332" s="1" t="s">
        <v>3</v>
      </c>
      <c r="AR332" s="1" t="s">
        <v>3</v>
      </c>
      <c r="AS332" s="1"/>
      <c r="AT332" s="1"/>
      <c r="AU332" s="1"/>
      <c r="AV332" s="1"/>
      <c r="AW332" s="1"/>
      <c r="AX332" s="1"/>
      <c r="AY332" s="1"/>
      <c r="AZ332" s="1" t="s">
        <v>3</v>
      </c>
      <c r="BA332" s="1"/>
      <c r="BB332" s="1" t="s">
        <v>3</v>
      </c>
      <c r="BC332" s="1" t="s">
        <v>3</v>
      </c>
      <c r="BD332" s="1" t="s">
        <v>11</v>
      </c>
      <c r="BE332" s="1" t="s">
        <v>11</v>
      </c>
      <c r="BF332" s="1" t="s">
        <v>12</v>
      </c>
      <c r="BG332" s="1" t="s">
        <v>3</v>
      </c>
      <c r="BH332" s="1" t="s">
        <v>12</v>
      </c>
      <c r="BI332" s="1" t="s">
        <v>11</v>
      </c>
      <c r="BJ332" s="1" t="s">
        <v>3</v>
      </c>
      <c r="BK332" s="1" t="s">
        <v>3</v>
      </c>
      <c r="BL332" s="1" t="s">
        <v>3</v>
      </c>
      <c r="BM332" s="1" t="s">
        <v>3</v>
      </c>
      <c r="BN332" s="1" t="s">
        <v>11</v>
      </c>
      <c r="BO332" s="1" t="s">
        <v>3</v>
      </c>
      <c r="BP332" s="1" t="s">
        <v>3</v>
      </c>
      <c r="BQ332" s="1"/>
      <c r="BR332" s="1"/>
      <c r="BS332" s="1"/>
      <c r="BT332" s="1"/>
      <c r="BU332" s="1"/>
      <c r="BV332" s="1"/>
      <c r="BW332" s="1"/>
      <c r="BX332" s="1">
        <v>0</v>
      </c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>
        <v>0</v>
      </c>
    </row>
    <row r="334" spans="1:245" x14ac:dyDescent="0.2">
      <c r="A334" s="2">
        <v>52</v>
      </c>
      <c r="B334" s="2">
        <f t="shared" ref="B334:G334" si="261">B341</f>
        <v>1</v>
      </c>
      <c r="C334" s="2">
        <f t="shared" si="261"/>
        <v>5</v>
      </c>
      <c r="D334" s="2">
        <f t="shared" si="261"/>
        <v>332</v>
      </c>
      <c r="E334" s="2">
        <f t="shared" si="261"/>
        <v>0</v>
      </c>
      <c r="F334" s="2" t="str">
        <f t="shared" si="261"/>
        <v>Новый подраздел</v>
      </c>
      <c r="G334" s="2" t="str">
        <f t="shared" si="261"/>
        <v>Установка скамеек</v>
      </c>
      <c r="H334" s="2"/>
      <c r="I334" s="2"/>
      <c r="J334" s="2"/>
      <c r="K334" s="2"/>
      <c r="L334" s="2"/>
      <c r="M334" s="2"/>
      <c r="N334" s="2"/>
      <c r="O334" s="2">
        <f t="shared" ref="O334:AT334" si="262">O341</f>
        <v>7491</v>
      </c>
      <c r="P334" s="2">
        <f t="shared" si="262"/>
        <v>7458</v>
      </c>
      <c r="Q334" s="2">
        <f t="shared" si="262"/>
        <v>8</v>
      </c>
      <c r="R334" s="2">
        <f t="shared" si="262"/>
        <v>1</v>
      </c>
      <c r="S334" s="2">
        <f t="shared" si="262"/>
        <v>25</v>
      </c>
      <c r="T334" s="2">
        <f t="shared" si="262"/>
        <v>0</v>
      </c>
      <c r="U334" s="2">
        <f t="shared" si="262"/>
        <v>3.8741775000000001</v>
      </c>
      <c r="V334" s="2">
        <f t="shared" si="262"/>
        <v>9.2250000000000013E-2</v>
      </c>
      <c r="W334" s="2">
        <f t="shared" si="262"/>
        <v>0</v>
      </c>
      <c r="X334" s="2">
        <f t="shared" si="262"/>
        <v>22</v>
      </c>
      <c r="Y334" s="2">
        <f t="shared" si="262"/>
        <v>10</v>
      </c>
      <c r="Z334" s="2">
        <f t="shared" si="262"/>
        <v>0</v>
      </c>
      <c r="AA334" s="2">
        <f t="shared" si="262"/>
        <v>0</v>
      </c>
      <c r="AB334" s="2">
        <f t="shared" si="262"/>
        <v>7491</v>
      </c>
      <c r="AC334" s="2">
        <f t="shared" si="262"/>
        <v>7458</v>
      </c>
      <c r="AD334" s="2">
        <f t="shared" si="262"/>
        <v>8</v>
      </c>
      <c r="AE334" s="2">
        <f t="shared" si="262"/>
        <v>1</v>
      </c>
      <c r="AF334" s="2">
        <f t="shared" si="262"/>
        <v>25</v>
      </c>
      <c r="AG334" s="2">
        <f t="shared" si="262"/>
        <v>0</v>
      </c>
      <c r="AH334" s="2">
        <f t="shared" si="262"/>
        <v>3.8741775000000001</v>
      </c>
      <c r="AI334" s="2">
        <f t="shared" si="262"/>
        <v>9.2250000000000013E-2</v>
      </c>
      <c r="AJ334" s="2">
        <f t="shared" si="262"/>
        <v>0</v>
      </c>
      <c r="AK334" s="2">
        <f t="shared" si="262"/>
        <v>22</v>
      </c>
      <c r="AL334" s="2">
        <f t="shared" si="262"/>
        <v>10</v>
      </c>
      <c r="AM334" s="2">
        <f t="shared" si="262"/>
        <v>0</v>
      </c>
      <c r="AN334" s="2">
        <f t="shared" si="262"/>
        <v>0</v>
      </c>
      <c r="AO334" s="2">
        <f t="shared" si="262"/>
        <v>0</v>
      </c>
      <c r="AP334" s="2">
        <f t="shared" si="262"/>
        <v>0</v>
      </c>
      <c r="AQ334" s="2">
        <f t="shared" si="262"/>
        <v>0</v>
      </c>
      <c r="AR334" s="2">
        <f t="shared" si="262"/>
        <v>7523</v>
      </c>
      <c r="AS334" s="2">
        <f t="shared" si="262"/>
        <v>7523</v>
      </c>
      <c r="AT334" s="2">
        <f t="shared" si="262"/>
        <v>0</v>
      </c>
      <c r="AU334" s="2">
        <f t="shared" ref="AU334:BZ334" si="263">AU341</f>
        <v>0</v>
      </c>
      <c r="AV334" s="2">
        <f t="shared" si="263"/>
        <v>7458</v>
      </c>
      <c r="AW334" s="2">
        <f t="shared" si="263"/>
        <v>7458</v>
      </c>
      <c r="AX334" s="2">
        <f t="shared" si="263"/>
        <v>0</v>
      </c>
      <c r="AY334" s="2">
        <f t="shared" si="263"/>
        <v>7458</v>
      </c>
      <c r="AZ334" s="2">
        <f t="shared" si="263"/>
        <v>0</v>
      </c>
      <c r="BA334" s="2">
        <f t="shared" si="263"/>
        <v>0</v>
      </c>
      <c r="BB334" s="2">
        <f t="shared" si="263"/>
        <v>0</v>
      </c>
      <c r="BC334" s="2">
        <f t="shared" si="263"/>
        <v>0</v>
      </c>
      <c r="BD334" s="2">
        <f t="shared" si="263"/>
        <v>0</v>
      </c>
      <c r="BE334" s="2">
        <f t="shared" si="263"/>
        <v>0</v>
      </c>
      <c r="BF334" s="2">
        <f t="shared" si="263"/>
        <v>0</v>
      </c>
      <c r="BG334" s="2">
        <f t="shared" si="263"/>
        <v>0</v>
      </c>
      <c r="BH334" s="2">
        <f t="shared" si="263"/>
        <v>0</v>
      </c>
      <c r="BI334" s="2">
        <f t="shared" si="263"/>
        <v>0</v>
      </c>
      <c r="BJ334" s="2">
        <f t="shared" si="263"/>
        <v>0</v>
      </c>
      <c r="BK334" s="2">
        <f t="shared" si="263"/>
        <v>0</v>
      </c>
      <c r="BL334" s="2">
        <f t="shared" si="263"/>
        <v>0</v>
      </c>
      <c r="BM334" s="2">
        <f t="shared" si="263"/>
        <v>0</v>
      </c>
      <c r="BN334" s="2">
        <f t="shared" si="263"/>
        <v>0</v>
      </c>
      <c r="BO334" s="2">
        <f t="shared" si="263"/>
        <v>0</v>
      </c>
      <c r="BP334" s="2">
        <f t="shared" si="263"/>
        <v>0</v>
      </c>
      <c r="BQ334" s="2">
        <f t="shared" si="263"/>
        <v>0</v>
      </c>
      <c r="BR334" s="2">
        <f t="shared" si="263"/>
        <v>0</v>
      </c>
      <c r="BS334" s="2">
        <f t="shared" si="263"/>
        <v>0</v>
      </c>
      <c r="BT334" s="2">
        <f t="shared" si="263"/>
        <v>0</v>
      </c>
      <c r="BU334" s="2">
        <f t="shared" si="263"/>
        <v>0</v>
      </c>
      <c r="BV334" s="2">
        <f t="shared" si="263"/>
        <v>0</v>
      </c>
      <c r="BW334" s="2">
        <f t="shared" si="263"/>
        <v>0</v>
      </c>
      <c r="BX334" s="2">
        <f t="shared" si="263"/>
        <v>0</v>
      </c>
      <c r="BY334" s="2">
        <f t="shared" si="263"/>
        <v>0</v>
      </c>
      <c r="BZ334" s="2">
        <f t="shared" si="263"/>
        <v>0</v>
      </c>
      <c r="CA334" s="2">
        <f t="shared" ref="CA334:DF334" si="264">CA341</f>
        <v>7523</v>
      </c>
      <c r="CB334" s="2">
        <f t="shared" si="264"/>
        <v>7523</v>
      </c>
      <c r="CC334" s="2">
        <f t="shared" si="264"/>
        <v>0</v>
      </c>
      <c r="CD334" s="2">
        <f t="shared" si="264"/>
        <v>0</v>
      </c>
      <c r="CE334" s="2">
        <f t="shared" si="264"/>
        <v>7458</v>
      </c>
      <c r="CF334" s="2">
        <f t="shared" si="264"/>
        <v>7458</v>
      </c>
      <c r="CG334" s="2">
        <f t="shared" si="264"/>
        <v>0</v>
      </c>
      <c r="CH334" s="2">
        <f t="shared" si="264"/>
        <v>7458</v>
      </c>
      <c r="CI334" s="2">
        <f t="shared" si="264"/>
        <v>0</v>
      </c>
      <c r="CJ334" s="2">
        <f t="shared" si="264"/>
        <v>0</v>
      </c>
      <c r="CK334" s="2">
        <f t="shared" si="264"/>
        <v>0</v>
      </c>
      <c r="CL334" s="2">
        <f t="shared" si="264"/>
        <v>0</v>
      </c>
      <c r="CM334" s="2">
        <f t="shared" si="264"/>
        <v>0</v>
      </c>
      <c r="CN334" s="2">
        <f t="shared" si="264"/>
        <v>0</v>
      </c>
      <c r="CO334" s="2">
        <f t="shared" si="264"/>
        <v>0</v>
      </c>
      <c r="CP334" s="2">
        <f t="shared" si="264"/>
        <v>0</v>
      </c>
      <c r="CQ334" s="2">
        <f t="shared" si="264"/>
        <v>0</v>
      </c>
      <c r="CR334" s="2">
        <f t="shared" si="264"/>
        <v>0</v>
      </c>
      <c r="CS334" s="2">
        <f t="shared" si="264"/>
        <v>0</v>
      </c>
      <c r="CT334" s="2">
        <f t="shared" si="264"/>
        <v>0</v>
      </c>
      <c r="CU334" s="2">
        <f t="shared" si="264"/>
        <v>0</v>
      </c>
      <c r="CV334" s="2">
        <f t="shared" si="264"/>
        <v>0</v>
      </c>
      <c r="CW334" s="2">
        <f t="shared" si="264"/>
        <v>0</v>
      </c>
      <c r="CX334" s="2">
        <f t="shared" si="264"/>
        <v>0</v>
      </c>
      <c r="CY334" s="2">
        <f t="shared" si="264"/>
        <v>0</v>
      </c>
      <c r="CZ334" s="2">
        <f t="shared" si="264"/>
        <v>0</v>
      </c>
      <c r="DA334" s="2">
        <f t="shared" si="264"/>
        <v>0</v>
      </c>
      <c r="DB334" s="2">
        <f t="shared" si="264"/>
        <v>0</v>
      </c>
      <c r="DC334" s="2">
        <f t="shared" si="264"/>
        <v>0</v>
      </c>
      <c r="DD334" s="2">
        <f t="shared" si="264"/>
        <v>0</v>
      </c>
      <c r="DE334" s="2">
        <f t="shared" si="264"/>
        <v>0</v>
      </c>
      <c r="DF334" s="2">
        <f t="shared" si="264"/>
        <v>0</v>
      </c>
      <c r="DG334" s="3">
        <f t="shared" ref="DG334:EL334" si="265">DG341</f>
        <v>0</v>
      </c>
      <c r="DH334" s="3">
        <f t="shared" si="265"/>
        <v>0</v>
      </c>
      <c r="DI334" s="3">
        <f t="shared" si="265"/>
        <v>0</v>
      </c>
      <c r="DJ334" s="3">
        <f t="shared" si="265"/>
        <v>0</v>
      </c>
      <c r="DK334" s="3">
        <f t="shared" si="265"/>
        <v>0</v>
      </c>
      <c r="DL334" s="3">
        <f t="shared" si="265"/>
        <v>0</v>
      </c>
      <c r="DM334" s="3">
        <f t="shared" si="265"/>
        <v>0</v>
      </c>
      <c r="DN334" s="3">
        <f t="shared" si="265"/>
        <v>0</v>
      </c>
      <c r="DO334" s="3">
        <f t="shared" si="265"/>
        <v>0</v>
      </c>
      <c r="DP334" s="3">
        <f t="shared" si="265"/>
        <v>0</v>
      </c>
      <c r="DQ334" s="3">
        <f t="shared" si="265"/>
        <v>0</v>
      </c>
      <c r="DR334" s="3">
        <f t="shared" si="265"/>
        <v>0</v>
      </c>
      <c r="DS334" s="3">
        <f t="shared" si="265"/>
        <v>0</v>
      </c>
      <c r="DT334" s="3">
        <f t="shared" si="265"/>
        <v>0</v>
      </c>
      <c r="DU334" s="3">
        <f t="shared" si="265"/>
        <v>0</v>
      </c>
      <c r="DV334" s="3">
        <f t="shared" si="265"/>
        <v>0</v>
      </c>
      <c r="DW334" s="3">
        <f t="shared" si="265"/>
        <v>0</v>
      </c>
      <c r="DX334" s="3">
        <f t="shared" si="265"/>
        <v>0</v>
      </c>
      <c r="DY334" s="3">
        <f t="shared" si="265"/>
        <v>0</v>
      </c>
      <c r="DZ334" s="3">
        <f t="shared" si="265"/>
        <v>0</v>
      </c>
      <c r="EA334" s="3">
        <f t="shared" si="265"/>
        <v>0</v>
      </c>
      <c r="EB334" s="3">
        <f t="shared" si="265"/>
        <v>0</v>
      </c>
      <c r="EC334" s="3">
        <f t="shared" si="265"/>
        <v>0</v>
      </c>
      <c r="ED334" s="3">
        <f t="shared" si="265"/>
        <v>0</v>
      </c>
      <c r="EE334" s="3">
        <f t="shared" si="265"/>
        <v>0</v>
      </c>
      <c r="EF334" s="3">
        <f t="shared" si="265"/>
        <v>0</v>
      </c>
      <c r="EG334" s="3">
        <f t="shared" si="265"/>
        <v>0</v>
      </c>
      <c r="EH334" s="3">
        <f t="shared" si="265"/>
        <v>0</v>
      </c>
      <c r="EI334" s="3">
        <f t="shared" si="265"/>
        <v>0</v>
      </c>
      <c r="EJ334" s="3">
        <f t="shared" si="265"/>
        <v>0</v>
      </c>
      <c r="EK334" s="3">
        <f t="shared" si="265"/>
        <v>0</v>
      </c>
      <c r="EL334" s="3">
        <f t="shared" si="265"/>
        <v>0</v>
      </c>
      <c r="EM334" s="3">
        <f t="shared" ref="EM334:FR334" si="266">EM341</f>
        <v>0</v>
      </c>
      <c r="EN334" s="3">
        <f t="shared" si="266"/>
        <v>0</v>
      </c>
      <c r="EO334" s="3">
        <f t="shared" si="266"/>
        <v>0</v>
      </c>
      <c r="EP334" s="3">
        <f t="shared" si="266"/>
        <v>0</v>
      </c>
      <c r="EQ334" s="3">
        <f t="shared" si="266"/>
        <v>0</v>
      </c>
      <c r="ER334" s="3">
        <f t="shared" si="266"/>
        <v>0</v>
      </c>
      <c r="ES334" s="3">
        <f t="shared" si="266"/>
        <v>0</v>
      </c>
      <c r="ET334" s="3">
        <f t="shared" si="266"/>
        <v>0</v>
      </c>
      <c r="EU334" s="3">
        <f t="shared" si="266"/>
        <v>0</v>
      </c>
      <c r="EV334" s="3">
        <f t="shared" si="266"/>
        <v>0</v>
      </c>
      <c r="EW334" s="3">
        <f t="shared" si="266"/>
        <v>0</v>
      </c>
      <c r="EX334" s="3">
        <f t="shared" si="266"/>
        <v>0</v>
      </c>
      <c r="EY334" s="3">
        <f t="shared" si="266"/>
        <v>0</v>
      </c>
      <c r="EZ334" s="3">
        <f t="shared" si="266"/>
        <v>0</v>
      </c>
      <c r="FA334" s="3">
        <f t="shared" si="266"/>
        <v>0</v>
      </c>
      <c r="FB334" s="3">
        <f t="shared" si="266"/>
        <v>0</v>
      </c>
      <c r="FC334" s="3">
        <f t="shared" si="266"/>
        <v>0</v>
      </c>
      <c r="FD334" s="3">
        <f t="shared" si="266"/>
        <v>0</v>
      </c>
      <c r="FE334" s="3">
        <f t="shared" si="266"/>
        <v>0</v>
      </c>
      <c r="FF334" s="3">
        <f t="shared" si="266"/>
        <v>0</v>
      </c>
      <c r="FG334" s="3">
        <f t="shared" si="266"/>
        <v>0</v>
      </c>
      <c r="FH334" s="3">
        <f t="shared" si="266"/>
        <v>0</v>
      </c>
      <c r="FI334" s="3">
        <f t="shared" si="266"/>
        <v>0</v>
      </c>
      <c r="FJ334" s="3">
        <f t="shared" si="266"/>
        <v>0</v>
      </c>
      <c r="FK334" s="3">
        <f t="shared" si="266"/>
        <v>0</v>
      </c>
      <c r="FL334" s="3">
        <f t="shared" si="266"/>
        <v>0</v>
      </c>
      <c r="FM334" s="3">
        <f t="shared" si="266"/>
        <v>0</v>
      </c>
      <c r="FN334" s="3">
        <f t="shared" si="266"/>
        <v>0</v>
      </c>
      <c r="FO334" s="3">
        <f t="shared" si="266"/>
        <v>0</v>
      </c>
      <c r="FP334" s="3">
        <f t="shared" si="266"/>
        <v>0</v>
      </c>
      <c r="FQ334" s="3">
        <f t="shared" si="266"/>
        <v>0</v>
      </c>
      <c r="FR334" s="3">
        <f t="shared" si="266"/>
        <v>0</v>
      </c>
      <c r="FS334" s="3">
        <f t="shared" ref="FS334:GX334" si="267">FS341</f>
        <v>0</v>
      </c>
      <c r="FT334" s="3">
        <f t="shared" si="267"/>
        <v>0</v>
      </c>
      <c r="FU334" s="3">
        <f t="shared" si="267"/>
        <v>0</v>
      </c>
      <c r="FV334" s="3">
        <f t="shared" si="267"/>
        <v>0</v>
      </c>
      <c r="FW334" s="3">
        <f t="shared" si="267"/>
        <v>0</v>
      </c>
      <c r="FX334" s="3">
        <f t="shared" si="267"/>
        <v>0</v>
      </c>
      <c r="FY334" s="3">
        <f t="shared" si="267"/>
        <v>0</v>
      </c>
      <c r="FZ334" s="3">
        <f t="shared" si="267"/>
        <v>0</v>
      </c>
      <c r="GA334" s="3">
        <f t="shared" si="267"/>
        <v>0</v>
      </c>
      <c r="GB334" s="3">
        <f t="shared" si="267"/>
        <v>0</v>
      </c>
      <c r="GC334" s="3">
        <f t="shared" si="267"/>
        <v>0</v>
      </c>
      <c r="GD334" s="3">
        <f t="shared" si="267"/>
        <v>0</v>
      </c>
      <c r="GE334" s="3">
        <f t="shared" si="267"/>
        <v>0</v>
      </c>
      <c r="GF334" s="3">
        <f t="shared" si="267"/>
        <v>0</v>
      </c>
      <c r="GG334" s="3">
        <f t="shared" si="267"/>
        <v>0</v>
      </c>
      <c r="GH334" s="3">
        <f t="shared" si="267"/>
        <v>0</v>
      </c>
      <c r="GI334" s="3">
        <f t="shared" si="267"/>
        <v>0</v>
      </c>
      <c r="GJ334" s="3">
        <f t="shared" si="267"/>
        <v>0</v>
      </c>
      <c r="GK334" s="3">
        <f t="shared" si="267"/>
        <v>0</v>
      </c>
      <c r="GL334" s="3">
        <f t="shared" si="267"/>
        <v>0</v>
      </c>
      <c r="GM334" s="3">
        <f t="shared" si="267"/>
        <v>0</v>
      </c>
      <c r="GN334" s="3">
        <f t="shared" si="267"/>
        <v>0</v>
      </c>
      <c r="GO334" s="3">
        <f t="shared" si="267"/>
        <v>0</v>
      </c>
      <c r="GP334" s="3">
        <f t="shared" si="267"/>
        <v>0</v>
      </c>
      <c r="GQ334" s="3">
        <f t="shared" si="267"/>
        <v>0</v>
      </c>
      <c r="GR334" s="3">
        <f t="shared" si="267"/>
        <v>0</v>
      </c>
      <c r="GS334" s="3">
        <f t="shared" si="267"/>
        <v>0</v>
      </c>
      <c r="GT334" s="3">
        <f t="shared" si="267"/>
        <v>0</v>
      </c>
      <c r="GU334" s="3">
        <f t="shared" si="267"/>
        <v>0</v>
      </c>
      <c r="GV334" s="3">
        <f t="shared" si="267"/>
        <v>0</v>
      </c>
      <c r="GW334" s="3">
        <f t="shared" si="267"/>
        <v>0</v>
      </c>
      <c r="GX334" s="3">
        <f t="shared" si="267"/>
        <v>0</v>
      </c>
    </row>
    <row r="336" spans="1:245" x14ac:dyDescent="0.2">
      <c r="A336">
        <v>17</v>
      </c>
      <c r="B336">
        <v>1</v>
      </c>
      <c r="C336">
        <f>ROW(SmtRes!A176)</f>
        <v>176</v>
      </c>
      <c r="D336">
        <f>ROW(EtalonRes!A172)</f>
        <v>172</v>
      </c>
      <c r="E336" t="s">
        <v>302</v>
      </c>
      <c r="F336" t="s">
        <v>283</v>
      </c>
      <c r="G336" t="s">
        <v>284</v>
      </c>
      <c r="H336" t="s">
        <v>207</v>
      </c>
      <c r="I336">
        <f>ROUND(I337*4*0.2*0.2*0.72/100,4)</f>
        <v>8.0999999999999996E-3</v>
      </c>
      <c r="J336">
        <v>0</v>
      </c>
      <c r="O336">
        <f>ROUND(CP336,0)</f>
        <v>17</v>
      </c>
      <c r="P336">
        <f>ROUND(CQ336*I336,0)</f>
        <v>0</v>
      </c>
      <c r="Q336">
        <f>ROUND(CR336*I336,0)</f>
        <v>0</v>
      </c>
      <c r="R336">
        <f>ROUND(CS336*I336,0)</f>
        <v>0</v>
      </c>
      <c r="S336">
        <f>ROUND(CT336*I336,0)</f>
        <v>17</v>
      </c>
      <c r="T336">
        <f>ROUND(CU336*I336,0)</f>
        <v>0</v>
      </c>
      <c r="U336">
        <f>CV336*I336</f>
        <v>2.6082000000000001</v>
      </c>
      <c r="V336">
        <f>CW336*I336</f>
        <v>0</v>
      </c>
      <c r="W336">
        <f>ROUND(CX336*I336,0)</f>
        <v>0</v>
      </c>
      <c r="X336">
        <f t="shared" ref="X336:Y339" si="268">ROUND(CY336,0)</f>
        <v>14</v>
      </c>
      <c r="Y336">
        <f t="shared" si="268"/>
        <v>6</v>
      </c>
      <c r="AA336">
        <v>50210945</v>
      </c>
      <c r="AB336">
        <f>ROUND((AC336+AD336+AF336),1)</f>
        <v>2044.7</v>
      </c>
      <c r="AC336">
        <f>ROUND((ES336),1)</f>
        <v>0</v>
      </c>
      <c r="AD336">
        <f>ROUND(((((ET336*1.25))-((EU336*1.25)))+AE336),1)</f>
        <v>0</v>
      </c>
      <c r="AE336">
        <f>ROUND(((EU336*1.25)),1)</f>
        <v>0</v>
      </c>
      <c r="AF336">
        <f>ROUND(((EV336*1.15)),1)</f>
        <v>2044.7</v>
      </c>
      <c r="AG336">
        <f>ROUND((AP336),1)</f>
        <v>0</v>
      </c>
      <c r="AH336">
        <f>((EW336*1.15))</f>
        <v>322</v>
      </c>
      <c r="AI336">
        <f>((EX336*1.25))</f>
        <v>0</v>
      </c>
      <c r="AJ336">
        <f>(AS336)</f>
        <v>0</v>
      </c>
      <c r="AK336">
        <v>1778</v>
      </c>
      <c r="AL336">
        <v>0</v>
      </c>
      <c r="AM336">
        <v>0</v>
      </c>
      <c r="AN336">
        <v>0</v>
      </c>
      <c r="AO336">
        <v>1778</v>
      </c>
      <c r="AP336">
        <v>0</v>
      </c>
      <c r="AQ336">
        <v>280</v>
      </c>
      <c r="AR336">
        <v>0</v>
      </c>
      <c r="AS336">
        <v>0</v>
      </c>
      <c r="AT336">
        <v>80</v>
      </c>
      <c r="AU336">
        <v>38</v>
      </c>
      <c r="AV336">
        <v>1</v>
      </c>
      <c r="AW336">
        <v>1</v>
      </c>
      <c r="AZ336">
        <v>1</v>
      </c>
      <c r="BA336">
        <v>1</v>
      </c>
      <c r="BB336">
        <v>1</v>
      </c>
      <c r="BC336">
        <v>1</v>
      </c>
      <c r="BD336" t="s">
        <v>3</v>
      </c>
      <c r="BE336" t="s">
        <v>3</v>
      </c>
      <c r="BF336" t="s">
        <v>3</v>
      </c>
      <c r="BG336" t="s">
        <v>3</v>
      </c>
      <c r="BH336">
        <v>0</v>
      </c>
      <c r="BI336">
        <v>1</v>
      </c>
      <c r="BJ336" t="s">
        <v>285</v>
      </c>
      <c r="BM336">
        <v>1003</v>
      </c>
      <c r="BN336">
        <v>0</v>
      </c>
      <c r="BO336" t="s">
        <v>3</v>
      </c>
      <c r="BP336">
        <v>0</v>
      </c>
      <c r="BQ336">
        <v>2</v>
      </c>
      <c r="BR336">
        <v>0</v>
      </c>
      <c r="BS336">
        <v>1</v>
      </c>
      <c r="BT336">
        <v>1</v>
      </c>
      <c r="BU336">
        <v>1</v>
      </c>
      <c r="BV336">
        <v>1</v>
      </c>
      <c r="BW336">
        <v>1</v>
      </c>
      <c r="BX336">
        <v>1</v>
      </c>
      <c r="BY336" t="s">
        <v>3</v>
      </c>
      <c r="BZ336">
        <v>80</v>
      </c>
      <c r="CA336">
        <v>45</v>
      </c>
      <c r="CE336">
        <v>0</v>
      </c>
      <c r="CF336">
        <v>0</v>
      </c>
      <c r="CG336">
        <v>0</v>
      </c>
      <c r="CM336">
        <v>0</v>
      </c>
      <c r="CN336" t="s">
        <v>3</v>
      </c>
      <c r="CO336">
        <v>0</v>
      </c>
      <c r="CP336">
        <f>(P336+Q336+S336)</f>
        <v>17</v>
      </c>
      <c r="CQ336">
        <f>AC336*BC336</f>
        <v>0</v>
      </c>
      <c r="CR336">
        <f>AD336*BB336</f>
        <v>0</v>
      </c>
      <c r="CS336">
        <f>AE336*BS336</f>
        <v>0</v>
      </c>
      <c r="CT336">
        <f>AF336*BA336</f>
        <v>2044.7</v>
      </c>
      <c r="CU336">
        <f t="shared" ref="CU336:CX339" si="269">AG336</f>
        <v>0</v>
      </c>
      <c r="CV336">
        <f t="shared" si="269"/>
        <v>322</v>
      </c>
      <c r="CW336">
        <f t="shared" si="269"/>
        <v>0</v>
      </c>
      <c r="CX336">
        <f t="shared" si="269"/>
        <v>0</v>
      </c>
      <c r="CY336">
        <f>(((S336+R336)*AT336)/100)</f>
        <v>13.6</v>
      </c>
      <c r="CZ336">
        <f>(((S336+R336)*AU336)/100)</f>
        <v>6.46</v>
      </c>
      <c r="DC336" t="s">
        <v>3</v>
      </c>
      <c r="DD336" t="s">
        <v>3</v>
      </c>
      <c r="DE336" t="s">
        <v>11</v>
      </c>
      <c r="DF336" t="s">
        <v>11</v>
      </c>
      <c r="DG336" t="s">
        <v>12</v>
      </c>
      <c r="DH336" t="s">
        <v>3</v>
      </c>
      <c r="DI336" t="s">
        <v>12</v>
      </c>
      <c r="DJ336" t="s">
        <v>11</v>
      </c>
      <c r="DK336" t="s">
        <v>3</v>
      </c>
      <c r="DL336" t="s">
        <v>3</v>
      </c>
      <c r="DM336" t="s">
        <v>3</v>
      </c>
      <c r="DN336">
        <v>0</v>
      </c>
      <c r="DO336">
        <v>0</v>
      </c>
      <c r="DP336">
        <v>1</v>
      </c>
      <c r="DQ336">
        <v>1</v>
      </c>
      <c r="DU336">
        <v>1013</v>
      </c>
      <c r="DV336" t="s">
        <v>207</v>
      </c>
      <c r="DW336" t="s">
        <v>207</v>
      </c>
      <c r="DX336">
        <v>1</v>
      </c>
      <c r="EE336">
        <v>48752191</v>
      </c>
      <c r="EF336">
        <v>2</v>
      </c>
      <c r="EG336" t="s">
        <v>30</v>
      </c>
      <c r="EH336">
        <v>0</v>
      </c>
      <c r="EI336" t="s">
        <v>3</v>
      </c>
      <c r="EJ336">
        <v>1</v>
      </c>
      <c r="EK336">
        <v>1003</v>
      </c>
      <c r="EL336" t="s">
        <v>209</v>
      </c>
      <c r="EM336" t="s">
        <v>32</v>
      </c>
      <c r="EO336" t="s">
        <v>3</v>
      </c>
      <c r="EQ336">
        <v>131072</v>
      </c>
      <c r="ER336">
        <v>1778</v>
      </c>
      <c r="ES336">
        <v>0</v>
      </c>
      <c r="ET336">
        <v>0</v>
      </c>
      <c r="EU336">
        <v>0</v>
      </c>
      <c r="EV336">
        <v>1778</v>
      </c>
      <c r="EW336">
        <v>280</v>
      </c>
      <c r="EX336">
        <v>0</v>
      </c>
      <c r="EY336">
        <v>0</v>
      </c>
      <c r="FQ336">
        <v>0</v>
      </c>
      <c r="FR336">
        <f>ROUND(IF(AND(BH336=3,BI336=3),P336,0),0)</f>
        <v>0</v>
      </c>
      <c r="FS336">
        <v>0</v>
      </c>
      <c r="FU336" t="s">
        <v>33</v>
      </c>
      <c r="FX336">
        <v>80</v>
      </c>
      <c r="FY336">
        <v>38.25</v>
      </c>
      <c r="GA336" t="s">
        <v>3</v>
      </c>
      <c r="GD336">
        <v>1</v>
      </c>
      <c r="GF336">
        <v>995948563</v>
      </c>
      <c r="GG336">
        <v>2</v>
      </c>
      <c r="GH336">
        <v>0</v>
      </c>
      <c r="GI336">
        <v>0</v>
      </c>
      <c r="GJ336">
        <v>0</v>
      </c>
      <c r="GK336">
        <v>0</v>
      </c>
      <c r="GL336">
        <f>ROUND(IF(AND(BH336=3,BI336=3,FS336&lt;&gt;0),P336,0),0)</f>
        <v>0</v>
      </c>
      <c r="GM336">
        <f>ROUND(O336+X336+Y336,0)+GX336</f>
        <v>37</v>
      </c>
      <c r="GN336">
        <f>IF(OR(BI336=0,BI336=1),ROUND(O336+X336+Y336,0),0)</f>
        <v>37</v>
      </c>
      <c r="GO336">
        <f>IF(BI336=2,ROUND(O336+X336+Y336,0),0)</f>
        <v>0</v>
      </c>
      <c r="GP336">
        <f>IF(BI336=4,ROUND(O336+X336+Y336,0)+GX336,0)</f>
        <v>0</v>
      </c>
      <c r="GR336">
        <v>0</v>
      </c>
      <c r="GS336">
        <v>0</v>
      </c>
      <c r="GT336">
        <v>0</v>
      </c>
      <c r="GU336" t="s">
        <v>3</v>
      </c>
      <c r="GV336">
        <f>ROUND((GT336),1)</f>
        <v>0</v>
      </c>
      <c r="GW336">
        <v>1</v>
      </c>
      <c r="GX336">
        <f>ROUND(HC336*I336,0)</f>
        <v>0</v>
      </c>
      <c r="HA336">
        <v>0</v>
      </c>
      <c r="HB336">
        <v>0</v>
      </c>
      <c r="HC336">
        <f>GV336*GW336</f>
        <v>0</v>
      </c>
      <c r="IK336">
        <v>0</v>
      </c>
    </row>
    <row r="337" spans="1:245" x14ac:dyDescent="0.2">
      <c r="A337">
        <v>17</v>
      </c>
      <c r="B337">
        <v>1</v>
      </c>
      <c r="E337" t="s">
        <v>303</v>
      </c>
      <c r="F337" t="s">
        <v>287</v>
      </c>
      <c r="G337" t="s">
        <v>673</v>
      </c>
      <c r="H337" t="s">
        <v>288</v>
      </c>
      <c r="I337">
        <f>ROUND(7,4)</f>
        <v>7</v>
      </c>
      <c r="J337">
        <v>0</v>
      </c>
      <c r="O337">
        <f>ROUND(CP337,0)</f>
        <v>7247</v>
      </c>
      <c r="P337">
        <f>ROUND(CQ337*I337,0)</f>
        <v>7247</v>
      </c>
      <c r="Q337">
        <f>ROUND(CR337*I337,0)</f>
        <v>0</v>
      </c>
      <c r="R337">
        <f>ROUND(CS337*I337,0)</f>
        <v>0</v>
      </c>
      <c r="S337">
        <f>ROUND(CT337*I337,0)</f>
        <v>0</v>
      </c>
      <c r="T337">
        <f>ROUND(CU337*I337,0)</f>
        <v>0</v>
      </c>
      <c r="U337">
        <f>CV337*I337</f>
        <v>0</v>
      </c>
      <c r="V337">
        <f>CW337*I337</f>
        <v>0</v>
      </c>
      <c r="W337">
        <f>ROUND(CX337*I337,0)</f>
        <v>0</v>
      </c>
      <c r="X337">
        <f t="shared" si="268"/>
        <v>0</v>
      </c>
      <c r="Y337">
        <f t="shared" si="268"/>
        <v>0</v>
      </c>
      <c r="AA337">
        <v>50210945</v>
      </c>
      <c r="AB337">
        <f>ROUND((AC337+AD337+AF337),1)</f>
        <v>1035.3</v>
      </c>
      <c r="AC337">
        <f>ROUND((ES337),1)</f>
        <v>1035.3</v>
      </c>
      <c r="AD337">
        <f>ROUND((((ET337)-(EU337))+AE337),1)</f>
        <v>0</v>
      </c>
      <c r="AE337">
        <f>ROUND((EU337),1)</f>
        <v>0</v>
      </c>
      <c r="AF337">
        <f>ROUND((EV337),1)</f>
        <v>0</v>
      </c>
      <c r="AG337">
        <f>ROUND((AP337),1)</f>
        <v>0</v>
      </c>
      <c r="AH337">
        <f>(EW337)</f>
        <v>0</v>
      </c>
      <c r="AI337">
        <f>(EX337)</f>
        <v>0</v>
      </c>
      <c r="AJ337">
        <f>(AS337)</f>
        <v>0</v>
      </c>
      <c r="AK337">
        <v>1035.32</v>
      </c>
      <c r="AL337">
        <v>1035.32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1</v>
      </c>
      <c r="AW337">
        <v>1</v>
      </c>
      <c r="AZ337">
        <v>1</v>
      </c>
      <c r="BA337">
        <v>1</v>
      </c>
      <c r="BB337">
        <v>1</v>
      </c>
      <c r="BC337">
        <v>1</v>
      </c>
      <c r="BD337" t="s">
        <v>3</v>
      </c>
      <c r="BE337" t="s">
        <v>3</v>
      </c>
      <c r="BF337" t="s">
        <v>3</v>
      </c>
      <c r="BG337" t="s">
        <v>3</v>
      </c>
      <c r="BH337">
        <v>3</v>
      </c>
      <c r="BI337">
        <v>1</v>
      </c>
      <c r="BJ337" t="s">
        <v>3</v>
      </c>
      <c r="BM337">
        <v>1100</v>
      </c>
      <c r="BN337">
        <v>0</v>
      </c>
      <c r="BO337" t="s">
        <v>3</v>
      </c>
      <c r="BP337">
        <v>0</v>
      </c>
      <c r="BQ337">
        <v>8</v>
      </c>
      <c r="BR337">
        <v>0</v>
      </c>
      <c r="BS337">
        <v>1</v>
      </c>
      <c r="BT337">
        <v>1</v>
      </c>
      <c r="BU337">
        <v>1</v>
      </c>
      <c r="BV337">
        <v>1</v>
      </c>
      <c r="BW337">
        <v>1</v>
      </c>
      <c r="BX337">
        <v>1</v>
      </c>
      <c r="BY337" t="s">
        <v>3</v>
      </c>
      <c r="BZ337">
        <v>0</v>
      </c>
      <c r="CA337">
        <v>0</v>
      </c>
      <c r="CE337">
        <v>0</v>
      </c>
      <c r="CF337">
        <v>0</v>
      </c>
      <c r="CG337">
        <v>0</v>
      </c>
      <c r="CM337">
        <v>0</v>
      </c>
      <c r="CN337" t="s">
        <v>3</v>
      </c>
      <c r="CO337">
        <v>0</v>
      </c>
      <c r="CP337">
        <f>(P337+Q337+S337)</f>
        <v>7247</v>
      </c>
      <c r="CQ337">
        <f>AC337*BC337</f>
        <v>1035.3</v>
      </c>
      <c r="CR337">
        <f>AD337*BB337</f>
        <v>0</v>
      </c>
      <c r="CS337">
        <f>AE337*BS337</f>
        <v>0</v>
      </c>
      <c r="CT337">
        <f>AF337*BA337</f>
        <v>0</v>
      </c>
      <c r="CU337">
        <f t="shared" si="269"/>
        <v>0</v>
      </c>
      <c r="CV337">
        <f t="shared" si="269"/>
        <v>0</v>
      </c>
      <c r="CW337">
        <f t="shared" si="269"/>
        <v>0</v>
      </c>
      <c r="CX337">
        <f t="shared" si="269"/>
        <v>0</v>
      </c>
      <c r="CY337">
        <f>(((S337+R337)*AT337)/100)</f>
        <v>0</v>
      </c>
      <c r="CZ337">
        <f>(((S337+R337)*AU337)/100)</f>
        <v>0</v>
      </c>
      <c r="DC337" t="s">
        <v>3</v>
      </c>
      <c r="DD337" t="s">
        <v>3</v>
      </c>
      <c r="DE337" t="s">
        <v>3</v>
      </c>
      <c r="DF337" t="s">
        <v>3</v>
      </c>
      <c r="DG337" t="s">
        <v>3</v>
      </c>
      <c r="DH337" t="s">
        <v>3</v>
      </c>
      <c r="DI337" t="s">
        <v>3</v>
      </c>
      <c r="DJ337" t="s">
        <v>3</v>
      </c>
      <c r="DK337" t="s">
        <v>3</v>
      </c>
      <c r="DL337" t="s">
        <v>3</v>
      </c>
      <c r="DM337" t="s">
        <v>3</v>
      </c>
      <c r="DN337">
        <v>0</v>
      </c>
      <c r="DO337">
        <v>0</v>
      </c>
      <c r="DP337">
        <v>1</v>
      </c>
      <c r="DQ337">
        <v>1</v>
      </c>
      <c r="DU337">
        <v>1013</v>
      </c>
      <c r="DV337" t="s">
        <v>288</v>
      </c>
      <c r="DW337" t="s">
        <v>288</v>
      </c>
      <c r="DX337">
        <v>1</v>
      </c>
      <c r="EE337">
        <v>48752395</v>
      </c>
      <c r="EF337">
        <v>8</v>
      </c>
      <c r="EG337" t="s">
        <v>289</v>
      </c>
      <c r="EH337">
        <v>0</v>
      </c>
      <c r="EI337" t="s">
        <v>3</v>
      </c>
      <c r="EJ337">
        <v>1</v>
      </c>
      <c r="EK337">
        <v>1100</v>
      </c>
      <c r="EL337" t="s">
        <v>290</v>
      </c>
      <c r="EM337" t="s">
        <v>291</v>
      </c>
      <c r="EO337" t="s">
        <v>3</v>
      </c>
      <c r="EQ337">
        <v>131072</v>
      </c>
      <c r="ER337">
        <v>1035.32</v>
      </c>
      <c r="ES337">
        <v>1035.32</v>
      </c>
      <c r="ET337">
        <v>0</v>
      </c>
      <c r="EU337">
        <v>0</v>
      </c>
      <c r="EV337">
        <v>0</v>
      </c>
      <c r="EW337">
        <v>0</v>
      </c>
      <c r="EX337">
        <v>0</v>
      </c>
      <c r="EY337">
        <v>0</v>
      </c>
      <c r="EZ337">
        <v>5</v>
      </c>
      <c r="FC337">
        <v>1</v>
      </c>
      <c r="FD337">
        <v>18</v>
      </c>
      <c r="FF337">
        <v>10000</v>
      </c>
      <c r="FQ337">
        <v>0</v>
      </c>
      <c r="FR337">
        <f>ROUND(IF(AND(BH337=3,BI337=3),P337,0),0)</f>
        <v>0</v>
      </c>
      <c r="FS337">
        <v>0</v>
      </c>
      <c r="FX337">
        <v>0</v>
      </c>
      <c r="FY337">
        <v>0</v>
      </c>
      <c r="GA337" t="s">
        <v>304</v>
      </c>
      <c r="GD337">
        <v>1</v>
      </c>
      <c r="GF337">
        <v>-1462058704</v>
      </c>
      <c r="GG337">
        <v>2</v>
      </c>
      <c r="GH337">
        <v>3</v>
      </c>
      <c r="GI337">
        <v>3</v>
      </c>
      <c r="GJ337">
        <v>0</v>
      </c>
      <c r="GK337">
        <v>0</v>
      </c>
      <c r="GL337">
        <f>ROUND(IF(AND(BH337=3,BI337=3,FS337&lt;&gt;0),P337,0),0)</f>
        <v>0</v>
      </c>
      <c r="GM337">
        <f>ROUND(O337+X337+Y337,0)+GX337</f>
        <v>7247</v>
      </c>
      <c r="GN337">
        <f>IF(OR(BI337=0,BI337=1),ROUND(O337+X337+Y337,0),0)</f>
        <v>7247</v>
      </c>
      <c r="GO337">
        <f>IF(BI337=2,ROUND(O337+X337+Y337,0),0)</f>
        <v>0</v>
      </c>
      <c r="GP337">
        <f>IF(BI337=4,ROUND(O337+X337+Y337,0)+GX337,0)</f>
        <v>0</v>
      </c>
      <c r="GR337">
        <v>1</v>
      </c>
      <c r="GS337">
        <v>1</v>
      </c>
      <c r="GT337">
        <v>0</v>
      </c>
      <c r="GU337" t="s">
        <v>3</v>
      </c>
      <c r="GV337">
        <f>ROUND((GT337),1)</f>
        <v>0</v>
      </c>
      <c r="GW337">
        <v>1</v>
      </c>
      <c r="GX337">
        <f>ROUND(HC337*I337,0)</f>
        <v>0</v>
      </c>
      <c r="HA337">
        <v>0</v>
      </c>
      <c r="HB337">
        <v>0</v>
      </c>
      <c r="HC337">
        <f>GV337*GW337</f>
        <v>0</v>
      </c>
      <c r="IK337">
        <v>0</v>
      </c>
    </row>
    <row r="338" spans="1:245" x14ac:dyDescent="0.2">
      <c r="A338">
        <v>17</v>
      </c>
      <c r="B338">
        <v>1</v>
      </c>
      <c r="C338">
        <f>ROW(SmtRes!A184)</f>
        <v>184</v>
      </c>
      <c r="D338">
        <f>ROW(EtalonRes!A180)</f>
        <v>180</v>
      </c>
      <c r="E338" t="s">
        <v>305</v>
      </c>
      <c r="F338" t="s">
        <v>294</v>
      </c>
      <c r="G338" t="s">
        <v>295</v>
      </c>
      <c r="H338" t="s">
        <v>296</v>
      </c>
      <c r="I338">
        <f>ROUND((I336*100/2)/100,4)</f>
        <v>4.1000000000000003E-3</v>
      </c>
      <c r="J338">
        <v>0</v>
      </c>
      <c r="O338">
        <f>ROUND(CP338,0)</f>
        <v>224</v>
      </c>
      <c r="P338">
        <f>ROUND(CQ338*I338,0)</f>
        <v>211</v>
      </c>
      <c r="Q338">
        <f>ROUND(CR338*I338,0)</f>
        <v>8</v>
      </c>
      <c r="R338">
        <f>ROUND(CS338*I338,0)</f>
        <v>1</v>
      </c>
      <c r="S338">
        <f>ROUND(CT338*I338,0)</f>
        <v>5</v>
      </c>
      <c r="T338">
        <f>ROUND(CU338*I338,0)</f>
        <v>0</v>
      </c>
      <c r="U338">
        <f>CV338*I338</f>
        <v>0.84870000000000001</v>
      </c>
      <c r="V338">
        <f>CW338*I338</f>
        <v>9.2250000000000013E-2</v>
      </c>
      <c r="W338">
        <f>ROUND(CX338*I338,0)</f>
        <v>0</v>
      </c>
      <c r="X338">
        <f t="shared" si="268"/>
        <v>6</v>
      </c>
      <c r="Y338">
        <f t="shared" si="268"/>
        <v>3</v>
      </c>
      <c r="AA338">
        <v>50210945</v>
      </c>
      <c r="AB338">
        <f>ROUND((AC338+AD338+AF338),1)</f>
        <v>54712.7</v>
      </c>
      <c r="AC338">
        <f>ROUND((ES338),1)</f>
        <v>51415.5</v>
      </c>
      <c r="AD338">
        <f>ROUND(((((ET338*1.25))-((EU338*1.25)))+AE338),1)</f>
        <v>1982.7</v>
      </c>
      <c r="AE338">
        <f>ROUND(((EU338*1.25)),1)</f>
        <v>298.39999999999998</v>
      </c>
      <c r="AF338">
        <f>ROUND(((EV338*1.15)),1)</f>
        <v>1314.5</v>
      </c>
      <c r="AG338">
        <f>ROUND((AP338),1)</f>
        <v>0</v>
      </c>
      <c r="AH338">
        <f>((EW338*1.15))</f>
        <v>206.99999999999997</v>
      </c>
      <c r="AI338">
        <f>((EX338*1.25))</f>
        <v>22.5</v>
      </c>
      <c r="AJ338">
        <f>(AS338)</f>
        <v>0</v>
      </c>
      <c r="AK338">
        <v>54144.62</v>
      </c>
      <c r="AL338">
        <v>51415.49</v>
      </c>
      <c r="AM338">
        <v>1586.13</v>
      </c>
      <c r="AN338">
        <v>238.68</v>
      </c>
      <c r="AO338">
        <v>1143</v>
      </c>
      <c r="AP338">
        <v>0</v>
      </c>
      <c r="AQ338">
        <v>180</v>
      </c>
      <c r="AR338">
        <v>18</v>
      </c>
      <c r="AS338">
        <v>0</v>
      </c>
      <c r="AT338">
        <v>105</v>
      </c>
      <c r="AU338">
        <v>55</v>
      </c>
      <c r="AV338">
        <v>1</v>
      </c>
      <c r="AW338">
        <v>1</v>
      </c>
      <c r="AZ338">
        <v>1</v>
      </c>
      <c r="BA338">
        <v>1</v>
      </c>
      <c r="BB338">
        <v>1</v>
      </c>
      <c r="BC338">
        <v>1</v>
      </c>
      <c r="BD338" t="s">
        <v>3</v>
      </c>
      <c r="BE338" t="s">
        <v>3</v>
      </c>
      <c r="BF338" t="s">
        <v>3</v>
      </c>
      <c r="BG338" t="s">
        <v>3</v>
      </c>
      <c r="BH338">
        <v>0</v>
      </c>
      <c r="BI338">
        <v>1</v>
      </c>
      <c r="BJ338" t="s">
        <v>297</v>
      </c>
      <c r="BM338">
        <v>6001</v>
      </c>
      <c r="BN338">
        <v>0</v>
      </c>
      <c r="BO338" t="s">
        <v>3</v>
      </c>
      <c r="BP338">
        <v>0</v>
      </c>
      <c r="BQ338">
        <v>2</v>
      </c>
      <c r="BR338">
        <v>0</v>
      </c>
      <c r="BS338">
        <v>1</v>
      </c>
      <c r="BT338">
        <v>1</v>
      </c>
      <c r="BU338">
        <v>1</v>
      </c>
      <c r="BV338">
        <v>1</v>
      </c>
      <c r="BW338">
        <v>1</v>
      </c>
      <c r="BX338">
        <v>1</v>
      </c>
      <c r="BY338" t="s">
        <v>3</v>
      </c>
      <c r="BZ338">
        <v>105</v>
      </c>
      <c r="CA338">
        <v>65</v>
      </c>
      <c r="CE338">
        <v>0</v>
      </c>
      <c r="CF338">
        <v>0</v>
      </c>
      <c r="CG338">
        <v>0</v>
      </c>
      <c r="CM338">
        <v>0</v>
      </c>
      <c r="CN338" t="s">
        <v>3</v>
      </c>
      <c r="CO338">
        <v>0</v>
      </c>
      <c r="CP338">
        <f>(P338+Q338+S338)</f>
        <v>224</v>
      </c>
      <c r="CQ338">
        <f>AC338*BC338</f>
        <v>51415.5</v>
      </c>
      <c r="CR338">
        <f>AD338*BB338</f>
        <v>1982.7</v>
      </c>
      <c r="CS338">
        <f>AE338*BS338</f>
        <v>298.39999999999998</v>
      </c>
      <c r="CT338">
        <f>AF338*BA338</f>
        <v>1314.5</v>
      </c>
      <c r="CU338">
        <f t="shared" si="269"/>
        <v>0</v>
      </c>
      <c r="CV338">
        <f t="shared" si="269"/>
        <v>206.99999999999997</v>
      </c>
      <c r="CW338">
        <f t="shared" si="269"/>
        <v>22.5</v>
      </c>
      <c r="CX338">
        <f t="shared" si="269"/>
        <v>0</v>
      </c>
      <c r="CY338">
        <f>(((S338+R338)*AT338)/100)</f>
        <v>6.3</v>
      </c>
      <c r="CZ338">
        <f>(((S338+R338)*AU338)/100)</f>
        <v>3.3</v>
      </c>
      <c r="DC338" t="s">
        <v>3</v>
      </c>
      <c r="DD338" t="s">
        <v>3</v>
      </c>
      <c r="DE338" t="s">
        <v>11</v>
      </c>
      <c r="DF338" t="s">
        <v>11</v>
      </c>
      <c r="DG338" t="s">
        <v>12</v>
      </c>
      <c r="DH338" t="s">
        <v>3</v>
      </c>
      <c r="DI338" t="s">
        <v>12</v>
      </c>
      <c r="DJ338" t="s">
        <v>11</v>
      </c>
      <c r="DK338" t="s">
        <v>3</v>
      </c>
      <c r="DL338" t="s">
        <v>3</v>
      </c>
      <c r="DM338" t="s">
        <v>3</v>
      </c>
      <c r="DN338">
        <v>0</v>
      </c>
      <c r="DO338">
        <v>0</v>
      </c>
      <c r="DP338">
        <v>1</v>
      </c>
      <c r="DQ338">
        <v>1</v>
      </c>
      <c r="DU338">
        <v>1013</v>
      </c>
      <c r="DV338" t="s">
        <v>296</v>
      </c>
      <c r="DW338" t="s">
        <v>296</v>
      </c>
      <c r="DX338">
        <v>1</v>
      </c>
      <c r="EE338">
        <v>48752202</v>
      </c>
      <c r="EF338">
        <v>2</v>
      </c>
      <c r="EG338" t="s">
        <v>30</v>
      </c>
      <c r="EH338">
        <v>0</v>
      </c>
      <c r="EI338" t="s">
        <v>3</v>
      </c>
      <c r="EJ338">
        <v>1</v>
      </c>
      <c r="EK338">
        <v>6001</v>
      </c>
      <c r="EL338" t="s">
        <v>298</v>
      </c>
      <c r="EM338" t="s">
        <v>299</v>
      </c>
      <c r="EO338" t="s">
        <v>3</v>
      </c>
      <c r="EQ338">
        <v>131072</v>
      </c>
      <c r="ER338">
        <v>54144.62</v>
      </c>
      <c r="ES338">
        <v>51415.49</v>
      </c>
      <c r="ET338">
        <v>1586.13</v>
      </c>
      <c r="EU338">
        <v>238.68</v>
      </c>
      <c r="EV338">
        <v>1143</v>
      </c>
      <c r="EW338">
        <v>180</v>
      </c>
      <c r="EX338">
        <v>18</v>
      </c>
      <c r="EY338">
        <v>0</v>
      </c>
      <c r="FQ338">
        <v>0</v>
      </c>
      <c r="FR338">
        <f>ROUND(IF(AND(BH338=3,BI338=3),P338,0),0)</f>
        <v>0</v>
      </c>
      <c r="FS338">
        <v>0</v>
      </c>
      <c r="FU338" t="s">
        <v>33</v>
      </c>
      <c r="FX338">
        <v>105</v>
      </c>
      <c r="FY338">
        <v>55.25</v>
      </c>
      <c r="GA338" t="s">
        <v>3</v>
      </c>
      <c r="GD338">
        <v>1</v>
      </c>
      <c r="GF338">
        <v>289825225</v>
      </c>
      <c r="GG338">
        <v>2</v>
      </c>
      <c r="GH338">
        <v>0</v>
      </c>
      <c r="GI338">
        <v>0</v>
      </c>
      <c r="GJ338">
        <v>0</v>
      </c>
      <c r="GK338">
        <v>0</v>
      </c>
      <c r="GL338">
        <f>ROUND(IF(AND(BH338=3,BI338=3,FS338&lt;&gt;0),P338,0),0)</f>
        <v>0</v>
      </c>
      <c r="GM338">
        <f>ROUND(O338+X338+Y338,0)+GX338</f>
        <v>233</v>
      </c>
      <c r="GN338">
        <f>IF(OR(BI338=0,BI338=1),ROUND(O338+X338+Y338,0),0)</f>
        <v>233</v>
      </c>
      <c r="GO338">
        <f>IF(BI338=2,ROUND(O338+X338+Y338,0),0)</f>
        <v>0</v>
      </c>
      <c r="GP338">
        <f>IF(BI338=4,ROUND(O338+X338+Y338,0)+GX338,0)</f>
        <v>0</v>
      </c>
      <c r="GR338">
        <v>0</v>
      </c>
      <c r="GS338">
        <v>0</v>
      </c>
      <c r="GT338">
        <v>0</v>
      </c>
      <c r="GU338" t="s">
        <v>3</v>
      </c>
      <c r="GV338">
        <f>ROUND((GT338),1)</f>
        <v>0</v>
      </c>
      <c r="GW338">
        <v>1</v>
      </c>
      <c r="GX338">
        <f>ROUND(HC338*I338,0)</f>
        <v>0</v>
      </c>
      <c r="HA338">
        <v>0</v>
      </c>
      <c r="HB338">
        <v>0</v>
      </c>
      <c r="HC338">
        <f>GV338*GW338</f>
        <v>0</v>
      </c>
      <c r="IK338">
        <v>0</v>
      </c>
    </row>
    <row r="339" spans="1:245" x14ac:dyDescent="0.2">
      <c r="A339">
        <v>17</v>
      </c>
      <c r="B339">
        <v>1</v>
      </c>
      <c r="C339">
        <f>ROW(SmtRes!A185)</f>
        <v>185</v>
      </c>
      <c r="D339">
        <f>ROW(EtalonRes!A181)</f>
        <v>181</v>
      </c>
      <c r="E339" t="s">
        <v>306</v>
      </c>
      <c r="F339" t="s">
        <v>223</v>
      </c>
      <c r="G339" t="s">
        <v>224</v>
      </c>
      <c r="H339" t="s">
        <v>207</v>
      </c>
      <c r="I339">
        <f>ROUND((I338*100)/100,4)</f>
        <v>4.1000000000000003E-3</v>
      </c>
      <c r="J339">
        <v>0</v>
      </c>
      <c r="O339">
        <f>ROUND(CP339,0)</f>
        <v>3</v>
      </c>
      <c r="P339">
        <f>ROUND(CQ339*I339,0)</f>
        <v>0</v>
      </c>
      <c r="Q339">
        <f>ROUND(CR339*I339,0)</f>
        <v>0</v>
      </c>
      <c r="R339">
        <f>ROUND(CS339*I339,0)</f>
        <v>0</v>
      </c>
      <c r="S339">
        <f>ROUND(CT339*I339,0)</f>
        <v>3</v>
      </c>
      <c r="T339">
        <f>ROUND(CU339*I339,0)</f>
        <v>0</v>
      </c>
      <c r="U339">
        <f>CV339*I339</f>
        <v>0.41727750000000002</v>
      </c>
      <c r="V339">
        <f>CW339*I339</f>
        <v>0</v>
      </c>
      <c r="W339">
        <f>ROUND(CX339*I339,0)</f>
        <v>0</v>
      </c>
      <c r="X339">
        <f t="shared" si="268"/>
        <v>2</v>
      </c>
      <c r="Y339">
        <f t="shared" si="268"/>
        <v>1</v>
      </c>
      <c r="AA339">
        <v>50210945</v>
      </c>
      <c r="AB339">
        <f>ROUND((AC339+AD339+AF339),1)</f>
        <v>620.79999999999995</v>
      </c>
      <c r="AC339">
        <f>ROUND((ES339),1)</f>
        <v>0</v>
      </c>
      <c r="AD339">
        <f>ROUND(((((ET339*1.25))-((EU339*1.25)))+AE339),1)</f>
        <v>0</v>
      </c>
      <c r="AE339">
        <f>ROUND(((EU339*1.25)),1)</f>
        <v>0</v>
      </c>
      <c r="AF339">
        <f>ROUND(((EV339*1.15)),1)</f>
        <v>620.79999999999995</v>
      </c>
      <c r="AG339">
        <f>ROUND((AP339),1)</f>
        <v>0</v>
      </c>
      <c r="AH339">
        <f>((EW339*1.15))</f>
        <v>101.77499999999999</v>
      </c>
      <c r="AI339">
        <f>((EX339*1.25))</f>
        <v>0</v>
      </c>
      <c r="AJ339">
        <f>(AS339)</f>
        <v>0</v>
      </c>
      <c r="AK339">
        <v>539.85</v>
      </c>
      <c r="AL339">
        <v>0</v>
      </c>
      <c r="AM339">
        <v>0</v>
      </c>
      <c r="AN339">
        <v>0</v>
      </c>
      <c r="AO339">
        <v>539.85</v>
      </c>
      <c r="AP339">
        <v>0</v>
      </c>
      <c r="AQ339">
        <v>88.5</v>
      </c>
      <c r="AR339">
        <v>0</v>
      </c>
      <c r="AS339">
        <v>0</v>
      </c>
      <c r="AT339">
        <v>80</v>
      </c>
      <c r="AU339">
        <v>38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0</v>
      </c>
      <c r="BI339">
        <v>1</v>
      </c>
      <c r="BJ339" t="s">
        <v>225</v>
      </c>
      <c r="BM339">
        <v>1003</v>
      </c>
      <c r="BN339">
        <v>0</v>
      </c>
      <c r="BO339" t="s">
        <v>3</v>
      </c>
      <c r="BP339">
        <v>0</v>
      </c>
      <c r="BQ339">
        <v>2</v>
      </c>
      <c r="BR339">
        <v>0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80</v>
      </c>
      <c r="CA339">
        <v>45</v>
      </c>
      <c r="CE339">
        <v>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>(P339+Q339+S339)</f>
        <v>3</v>
      </c>
      <c r="CQ339">
        <f>AC339*BC339</f>
        <v>0</v>
      </c>
      <c r="CR339">
        <f>AD339*BB339</f>
        <v>0</v>
      </c>
      <c r="CS339">
        <f>AE339*BS339</f>
        <v>0</v>
      </c>
      <c r="CT339">
        <f>AF339*BA339</f>
        <v>620.79999999999995</v>
      </c>
      <c r="CU339">
        <f t="shared" si="269"/>
        <v>0</v>
      </c>
      <c r="CV339">
        <f t="shared" si="269"/>
        <v>101.77499999999999</v>
      </c>
      <c r="CW339">
        <f t="shared" si="269"/>
        <v>0</v>
      </c>
      <c r="CX339">
        <f t="shared" si="269"/>
        <v>0</v>
      </c>
      <c r="CY339">
        <f>(((S339+R339)*AT339)/100)</f>
        <v>2.4</v>
      </c>
      <c r="CZ339">
        <f>(((S339+R339)*AU339)/100)</f>
        <v>1.1399999999999999</v>
      </c>
      <c r="DC339" t="s">
        <v>3</v>
      </c>
      <c r="DD339" t="s">
        <v>3</v>
      </c>
      <c r="DE339" t="s">
        <v>61</v>
      </c>
      <c r="DF339" t="s">
        <v>61</v>
      </c>
      <c r="DG339" t="s">
        <v>62</v>
      </c>
      <c r="DH339" t="s">
        <v>3</v>
      </c>
      <c r="DI339" t="s">
        <v>62</v>
      </c>
      <c r="DJ339" t="s">
        <v>61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1013</v>
      </c>
      <c r="DV339" t="s">
        <v>207</v>
      </c>
      <c r="DW339" t="s">
        <v>207</v>
      </c>
      <c r="DX339">
        <v>1</v>
      </c>
      <c r="EE339">
        <v>48752191</v>
      </c>
      <c r="EF339">
        <v>2</v>
      </c>
      <c r="EG339" t="s">
        <v>30</v>
      </c>
      <c r="EH339">
        <v>0</v>
      </c>
      <c r="EI339" t="s">
        <v>3</v>
      </c>
      <c r="EJ339">
        <v>1</v>
      </c>
      <c r="EK339">
        <v>1003</v>
      </c>
      <c r="EL339" t="s">
        <v>209</v>
      </c>
      <c r="EM339" t="s">
        <v>32</v>
      </c>
      <c r="EO339" t="s">
        <v>3</v>
      </c>
      <c r="EQ339">
        <v>131072</v>
      </c>
      <c r="ER339">
        <v>539.85</v>
      </c>
      <c r="ES339">
        <v>0</v>
      </c>
      <c r="ET339">
        <v>0</v>
      </c>
      <c r="EU339">
        <v>0</v>
      </c>
      <c r="EV339">
        <v>539.85</v>
      </c>
      <c r="EW339">
        <v>88.5</v>
      </c>
      <c r="EX339">
        <v>0</v>
      </c>
      <c r="EY339">
        <v>0</v>
      </c>
      <c r="FQ339">
        <v>0</v>
      </c>
      <c r="FR339">
        <f>ROUND(IF(AND(BH339=3,BI339=3),P339,0),0)</f>
        <v>0</v>
      </c>
      <c r="FS339">
        <v>0</v>
      </c>
      <c r="FU339" t="s">
        <v>33</v>
      </c>
      <c r="FX339">
        <v>80</v>
      </c>
      <c r="FY339">
        <v>38.25</v>
      </c>
      <c r="GA339" t="s">
        <v>3</v>
      </c>
      <c r="GD339">
        <v>1</v>
      </c>
      <c r="GF339">
        <v>-574956848</v>
      </c>
      <c r="GG339">
        <v>2</v>
      </c>
      <c r="GH339">
        <v>0</v>
      </c>
      <c r="GI339">
        <v>0</v>
      </c>
      <c r="GJ339">
        <v>0</v>
      </c>
      <c r="GK339">
        <v>0</v>
      </c>
      <c r="GL339">
        <f>ROUND(IF(AND(BH339=3,BI339=3,FS339&lt;&gt;0),P339,0),0)</f>
        <v>0</v>
      </c>
      <c r="GM339">
        <f>ROUND(O339+X339+Y339,0)+GX339</f>
        <v>6</v>
      </c>
      <c r="GN339">
        <f>IF(OR(BI339=0,BI339=1),ROUND(O339+X339+Y339,0),0)</f>
        <v>6</v>
      </c>
      <c r="GO339">
        <f>IF(BI339=2,ROUND(O339+X339+Y339,0),0)</f>
        <v>0</v>
      </c>
      <c r="GP339">
        <f>IF(BI339=4,ROUND(O339+X339+Y339,0)+GX339,0)</f>
        <v>0</v>
      </c>
      <c r="GR339">
        <v>0</v>
      </c>
      <c r="GS339">
        <v>0</v>
      </c>
      <c r="GT339">
        <v>0</v>
      </c>
      <c r="GU339" t="s">
        <v>3</v>
      </c>
      <c r="GV339">
        <f>ROUND((GT339),1)</f>
        <v>0</v>
      </c>
      <c r="GW339">
        <v>1</v>
      </c>
      <c r="GX339">
        <f>ROUND(HC339*I339,0)</f>
        <v>0</v>
      </c>
      <c r="HA339">
        <v>0</v>
      </c>
      <c r="HB339">
        <v>0</v>
      </c>
      <c r="HC339">
        <f>GV339*GW339</f>
        <v>0</v>
      </c>
      <c r="IK339">
        <v>0</v>
      </c>
    </row>
    <row r="341" spans="1:245" x14ac:dyDescent="0.2">
      <c r="A341" s="2">
        <v>51</v>
      </c>
      <c r="B341" s="2">
        <f>B332</f>
        <v>1</v>
      </c>
      <c r="C341" s="2">
        <f>A332</f>
        <v>5</v>
      </c>
      <c r="D341" s="2">
        <f>ROW(A332)</f>
        <v>332</v>
      </c>
      <c r="E341" s="2"/>
      <c r="F341" s="2" t="str">
        <f>IF(F332&lt;&gt;"",F332,"")</f>
        <v>Новый подраздел</v>
      </c>
      <c r="G341" s="2" t="str">
        <f>IF(G332&lt;&gt;"",G332,"")</f>
        <v>Установка скамеек</v>
      </c>
      <c r="H341" s="2">
        <v>0</v>
      </c>
      <c r="I341" s="2"/>
      <c r="J341" s="2"/>
      <c r="K341" s="2"/>
      <c r="L341" s="2"/>
      <c r="M341" s="2"/>
      <c r="N341" s="2"/>
      <c r="O341" s="2">
        <f t="shared" ref="O341:T341" si="270">ROUND(AB341,0)</f>
        <v>7491</v>
      </c>
      <c r="P341" s="2">
        <f t="shared" si="270"/>
        <v>7458</v>
      </c>
      <c r="Q341" s="2">
        <f t="shared" si="270"/>
        <v>8</v>
      </c>
      <c r="R341" s="2">
        <f t="shared" si="270"/>
        <v>1</v>
      </c>
      <c r="S341" s="2">
        <f t="shared" si="270"/>
        <v>25</v>
      </c>
      <c r="T341" s="2">
        <f t="shared" si="270"/>
        <v>0</v>
      </c>
      <c r="U341" s="2">
        <f>AH341</f>
        <v>3.8741775000000001</v>
      </c>
      <c r="V341" s="2">
        <f>AI341</f>
        <v>9.2250000000000013E-2</v>
      </c>
      <c r="W341" s="2">
        <f>ROUND(AJ341,0)</f>
        <v>0</v>
      </c>
      <c r="X341" s="2">
        <f>ROUND(AK341,0)</f>
        <v>22</v>
      </c>
      <c r="Y341" s="2">
        <f>ROUND(AL341,0)</f>
        <v>10</v>
      </c>
      <c r="Z341" s="2"/>
      <c r="AA341" s="2"/>
      <c r="AB341" s="2">
        <f>ROUND(SUMIF(AA336:AA339,"=50210945",O336:O339),0)</f>
        <v>7491</v>
      </c>
      <c r="AC341" s="2">
        <f>ROUND(SUMIF(AA336:AA339,"=50210945",P336:P339),0)</f>
        <v>7458</v>
      </c>
      <c r="AD341" s="2">
        <f>ROUND(SUMIF(AA336:AA339,"=50210945",Q336:Q339),0)</f>
        <v>8</v>
      </c>
      <c r="AE341" s="2">
        <f>ROUND(SUMIF(AA336:AA339,"=50210945",R336:R339),0)</f>
        <v>1</v>
      </c>
      <c r="AF341" s="2">
        <f>ROUND(SUMIF(AA336:AA339,"=50210945",S336:S339),0)</f>
        <v>25</v>
      </c>
      <c r="AG341" s="2">
        <f>ROUND(SUMIF(AA336:AA339,"=50210945",T336:T339),0)</f>
        <v>0</v>
      </c>
      <c r="AH341" s="2">
        <f>SUMIF(AA336:AA339,"=50210945",U336:U339)</f>
        <v>3.8741775000000001</v>
      </c>
      <c r="AI341" s="2">
        <f>SUMIF(AA336:AA339,"=50210945",V336:V339)</f>
        <v>9.2250000000000013E-2</v>
      </c>
      <c r="AJ341" s="2">
        <f>ROUND(SUMIF(AA336:AA339,"=50210945",W336:W339),0)</f>
        <v>0</v>
      </c>
      <c r="AK341" s="2">
        <f>ROUND(SUMIF(AA336:AA339,"=50210945",X336:X339),0)</f>
        <v>22</v>
      </c>
      <c r="AL341" s="2">
        <f>ROUND(SUMIF(AA336:AA339,"=50210945",Y336:Y339),0)</f>
        <v>10</v>
      </c>
      <c r="AM341" s="2"/>
      <c r="AN341" s="2"/>
      <c r="AO341" s="2">
        <f t="shared" ref="AO341:BD341" si="271">ROUND(BX341,0)</f>
        <v>0</v>
      </c>
      <c r="AP341" s="2">
        <f t="shared" si="271"/>
        <v>0</v>
      </c>
      <c r="AQ341" s="2">
        <f t="shared" si="271"/>
        <v>0</v>
      </c>
      <c r="AR341" s="2">
        <f t="shared" si="271"/>
        <v>7523</v>
      </c>
      <c r="AS341" s="2">
        <f t="shared" si="271"/>
        <v>7523</v>
      </c>
      <c r="AT341" s="2">
        <f t="shared" si="271"/>
        <v>0</v>
      </c>
      <c r="AU341" s="2">
        <f t="shared" si="271"/>
        <v>0</v>
      </c>
      <c r="AV341" s="2">
        <f t="shared" si="271"/>
        <v>7458</v>
      </c>
      <c r="AW341" s="2">
        <f t="shared" si="271"/>
        <v>7458</v>
      </c>
      <c r="AX341" s="2">
        <f t="shared" si="271"/>
        <v>0</v>
      </c>
      <c r="AY341" s="2">
        <f t="shared" si="271"/>
        <v>7458</v>
      </c>
      <c r="AZ341" s="2">
        <f t="shared" si="271"/>
        <v>0</v>
      </c>
      <c r="BA341" s="2">
        <f t="shared" si="271"/>
        <v>0</v>
      </c>
      <c r="BB341" s="2">
        <f t="shared" si="271"/>
        <v>0</v>
      </c>
      <c r="BC341" s="2">
        <f t="shared" si="271"/>
        <v>0</v>
      </c>
      <c r="BD341" s="2">
        <f t="shared" si="271"/>
        <v>0</v>
      </c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>
        <f>ROUND(SUMIF(AA336:AA339,"=50210945",FQ336:FQ339),0)</f>
        <v>0</v>
      </c>
      <c r="BY341" s="2">
        <f>ROUND(SUMIF(AA336:AA339,"=50210945",FR336:FR339),0)</f>
        <v>0</v>
      </c>
      <c r="BZ341" s="2">
        <f>ROUND(SUMIF(AA336:AA339,"=50210945",GL336:GL339),0)</f>
        <v>0</v>
      </c>
      <c r="CA341" s="2">
        <f>ROUND(SUMIF(AA336:AA339,"=50210945",GM336:GM339),0)</f>
        <v>7523</v>
      </c>
      <c r="CB341" s="2">
        <f>ROUND(SUMIF(AA336:AA339,"=50210945",GN336:GN339),0)</f>
        <v>7523</v>
      </c>
      <c r="CC341" s="2">
        <f>ROUND(SUMIF(AA336:AA339,"=50210945",GO336:GO339),0)</f>
        <v>0</v>
      </c>
      <c r="CD341" s="2">
        <f>ROUND(SUMIF(AA336:AA339,"=50210945",GP336:GP339),0)</f>
        <v>0</v>
      </c>
      <c r="CE341" s="2">
        <f>AC341-BX341</f>
        <v>7458</v>
      </c>
      <c r="CF341" s="2">
        <f>AC341-BY341</f>
        <v>7458</v>
      </c>
      <c r="CG341" s="2">
        <f>BX341-BZ341</f>
        <v>0</v>
      </c>
      <c r="CH341" s="2">
        <f>AC341-BX341-BY341+BZ341</f>
        <v>7458</v>
      </c>
      <c r="CI341" s="2">
        <f>BY341-BZ341</f>
        <v>0</v>
      </c>
      <c r="CJ341" s="2">
        <f>ROUND(SUMIF(AA336:AA339,"=50210945",GX336:GX339),0)</f>
        <v>0</v>
      </c>
      <c r="CK341" s="2">
        <f>ROUND(SUMIF(AA336:AA339,"=50210945",GY336:GY339),0)</f>
        <v>0</v>
      </c>
      <c r="CL341" s="2">
        <f>ROUND(SUMIF(AA336:AA339,"=50210945",GZ336:GZ339),0)</f>
        <v>0</v>
      </c>
      <c r="CM341" s="2">
        <f>ROUND(SUMIF(AA336:AA339,"=50210945",HD336:HD339),0)</f>
        <v>0</v>
      </c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3"/>
      <c r="DH341" s="3"/>
      <c r="DI341" s="3"/>
      <c r="DJ341" s="3"/>
      <c r="DK341" s="3"/>
      <c r="DL341" s="3"/>
      <c r="DM341" s="3"/>
      <c r="DN341" s="3"/>
      <c r="DO341" s="3"/>
      <c r="DP341" s="3"/>
      <c r="DQ341" s="3"/>
      <c r="DR341" s="3"/>
      <c r="DS341" s="3"/>
      <c r="DT341" s="3"/>
      <c r="DU341" s="3"/>
      <c r="DV341" s="3"/>
      <c r="DW341" s="3"/>
      <c r="DX341" s="3"/>
      <c r="DY341" s="3"/>
      <c r="DZ341" s="3"/>
      <c r="EA341" s="3"/>
      <c r="EB341" s="3"/>
      <c r="EC341" s="3"/>
      <c r="ED341" s="3"/>
      <c r="EE341" s="3"/>
      <c r="EF341" s="3"/>
      <c r="EG341" s="3"/>
      <c r="EH341" s="3"/>
      <c r="EI341" s="3"/>
      <c r="EJ341" s="3"/>
      <c r="EK341" s="3"/>
      <c r="EL341" s="3"/>
      <c r="EM341" s="3"/>
      <c r="EN341" s="3"/>
      <c r="EO341" s="3"/>
      <c r="EP341" s="3"/>
      <c r="EQ341" s="3"/>
      <c r="ER341" s="3"/>
      <c r="ES341" s="3"/>
      <c r="ET341" s="3"/>
      <c r="EU341" s="3"/>
      <c r="EV341" s="3"/>
      <c r="EW341" s="3"/>
      <c r="EX341" s="3"/>
      <c r="EY341" s="3"/>
      <c r="EZ341" s="3"/>
      <c r="FA341" s="3"/>
      <c r="FB341" s="3"/>
      <c r="FC341" s="3"/>
      <c r="FD341" s="3"/>
      <c r="FE341" s="3"/>
      <c r="FF341" s="3"/>
      <c r="FG341" s="3"/>
      <c r="FH341" s="3"/>
      <c r="FI341" s="3"/>
      <c r="FJ341" s="3"/>
      <c r="FK341" s="3"/>
      <c r="FL341" s="3"/>
      <c r="FM341" s="3"/>
      <c r="FN341" s="3"/>
      <c r="FO341" s="3"/>
      <c r="FP341" s="3"/>
      <c r="FQ341" s="3"/>
      <c r="FR341" s="3"/>
      <c r="FS341" s="3"/>
      <c r="FT341" s="3"/>
      <c r="FU341" s="3"/>
      <c r="FV341" s="3"/>
      <c r="FW341" s="3"/>
      <c r="FX341" s="3"/>
      <c r="FY341" s="3"/>
      <c r="FZ341" s="3"/>
      <c r="GA341" s="3"/>
      <c r="GB341" s="3"/>
      <c r="GC341" s="3"/>
      <c r="GD341" s="3"/>
      <c r="GE341" s="3"/>
      <c r="GF341" s="3"/>
      <c r="GG341" s="3"/>
      <c r="GH341" s="3"/>
      <c r="GI341" s="3"/>
      <c r="GJ341" s="3"/>
      <c r="GK341" s="3"/>
      <c r="GL341" s="3"/>
      <c r="GM341" s="3"/>
      <c r="GN341" s="3"/>
      <c r="GO341" s="3"/>
      <c r="GP341" s="3"/>
      <c r="GQ341" s="3"/>
      <c r="GR341" s="3"/>
      <c r="GS341" s="3"/>
      <c r="GT341" s="3"/>
      <c r="GU341" s="3"/>
      <c r="GV341" s="3"/>
      <c r="GW341" s="3"/>
      <c r="GX341" s="3">
        <v>0</v>
      </c>
    </row>
    <row r="343" spans="1:245" x14ac:dyDescent="0.2">
      <c r="A343" s="4">
        <v>50</v>
      </c>
      <c r="B343" s="4">
        <v>0</v>
      </c>
      <c r="C343" s="4">
        <v>0</v>
      </c>
      <c r="D343" s="4">
        <v>1</v>
      </c>
      <c r="E343" s="4">
        <v>201</v>
      </c>
      <c r="F343" s="4">
        <f>ROUND(Source!O341,O343)</f>
        <v>7491</v>
      </c>
      <c r="G343" s="4" t="s">
        <v>89</v>
      </c>
      <c r="H343" s="4" t="s">
        <v>90</v>
      </c>
      <c r="I343" s="4"/>
      <c r="J343" s="4"/>
      <c r="K343" s="4">
        <v>201</v>
      </c>
      <c r="L343" s="4">
        <v>1</v>
      </c>
      <c r="M343" s="4">
        <v>3</v>
      </c>
      <c r="N343" s="4" t="s">
        <v>3</v>
      </c>
      <c r="O343" s="4">
        <v>0</v>
      </c>
      <c r="P343" s="4"/>
      <c r="Q343" s="4"/>
      <c r="R343" s="4"/>
      <c r="S343" s="4"/>
      <c r="T343" s="4"/>
      <c r="U343" s="4"/>
      <c r="V343" s="4"/>
      <c r="W343" s="4"/>
    </row>
    <row r="344" spans="1:245" x14ac:dyDescent="0.2">
      <c r="A344" s="4">
        <v>50</v>
      </c>
      <c r="B344" s="4">
        <v>0</v>
      </c>
      <c r="C344" s="4">
        <v>0</v>
      </c>
      <c r="D344" s="4">
        <v>1</v>
      </c>
      <c r="E344" s="4">
        <v>202</v>
      </c>
      <c r="F344" s="4">
        <f>ROUND(Source!P341,O344)</f>
        <v>7458</v>
      </c>
      <c r="G344" s="4" t="s">
        <v>91</v>
      </c>
      <c r="H344" s="4" t="s">
        <v>92</v>
      </c>
      <c r="I344" s="4"/>
      <c r="J344" s="4"/>
      <c r="K344" s="4">
        <v>202</v>
      </c>
      <c r="L344" s="4">
        <v>2</v>
      </c>
      <c r="M344" s="4">
        <v>3</v>
      </c>
      <c r="N344" s="4" t="s">
        <v>3</v>
      </c>
      <c r="O344" s="4">
        <v>0</v>
      </c>
      <c r="P344" s="4"/>
      <c r="Q344" s="4"/>
      <c r="R344" s="4"/>
      <c r="S344" s="4"/>
      <c r="T344" s="4"/>
      <c r="U344" s="4"/>
      <c r="V344" s="4"/>
      <c r="W344" s="4"/>
    </row>
    <row r="345" spans="1:245" x14ac:dyDescent="0.2">
      <c r="A345" s="4">
        <v>50</v>
      </c>
      <c r="B345" s="4">
        <v>0</v>
      </c>
      <c r="C345" s="4">
        <v>0</v>
      </c>
      <c r="D345" s="4">
        <v>1</v>
      </c>
      <c r="E345" s="4">
        <v>222</v>
      </c>
      <c r="F345" s="4">
        <f>ROUND(Source!AO341,O345)</f>
        <v>0</v>
      </c>
      <c r="G345" s="4" t="s">
        <v>93</v>
      </c>
      <c r="H345" s="4" t="s">
        <v>94</v>
      </c>
      <c r="I345" s="4"/>
      <c r="J345" s="4"/>
      <c r="K345" s="4">
        <v>222</v>
      </c>
      <c r="L345" s="4">
        <v>3</v>
      </c>
      <c r="M345" s="4">
        <v>3</v>
      </c>
      <c r="N345" s="4" t="s">
        <v>3</v>
      </c>
      <c r="O345" s="4">
        <v>0</v>
      </c>
      <c r="P345" s="4"/>
      <c r="Q345" s="4"/>
      <c r="R345" s="4"/>
      <c r="S345" s="4"/>
      <c r="T345" s="4"/>
      <c r="U345" s="4"/>
      <c r="V345" s="4"/>
      <c r="W345" s="4"/>
    </row>
    <row r="346" spans="1:245" x14ac:dyDescent="0.2">
      <c r="A346" s="4">
        <v>50</v>
      </c>
      <c r="B346" s="4">
        <v>0</v>
      </c>
      <c r="C346" s="4">
        <v>0</v>
      </c>
      <c r="D346" s="4">
        <v>1</v>
      </c>
      <c r="E346" s="4">
        <v>225</v>
      </c>
      <c r="F346" s="4">
        <f>ROUND(Source!AV341,O346)</f>
        <v>7458</v>
      </c>
      <c r="G346" s="4" t="s">
        <v>95</v>
      </c>
      <c r="H346" s="4" t="s">
        <v>96</v>
      </c>
      <c r="I346" s="4"/>
      <c r="J346" s="4"/>
      <c r="K346" s="4">
        <v>225</v>
      </c>
      <c r="L346" s="4">
        <v>4</v>
      </c>
      <c r="M346" s="4">
        <v>3</v>
      </c>
      <c r="N346" s="4" t="s">
        <v>3</v>
      </c>
      <c r="O346" s="4">
        <v>0</v>
      </c>
      <c r="P346" s="4"/>
      <c r="Q346" s="4"/>
      <c r="R346" s="4"/>
      <c r="S346" s="4"/>
      <c r="T346" s="4"/>
      <c r="U346" s="4"/>
      <c r="V346" s="4"/>
      <c r="W346" s="4"/>
    </row>
    <row r="347" spans="1:245" x14ac:dyDescent="0.2">
      <c r="A347" s="4">
        <v>50</v>
      </c>
      <c r="B347" s="4">
        <v>0</v>
      </c>
      <c r="C347" s="4">
        <v>0</v>
      </c>
      <c r="D347" s="4">
        <v>1</v>
      </c>
      <c r="E347" s="4">
        <v>226</v>
      </c>
      <c r="F347" s="4">
        <f>ROUND(Source!AW341,O347)</f>
        <v>7458</v>
      </c>
      <c r="G347" s="4" t="s">
        <v>97</v>
      </c>
      <c r="H347" s="4" t="s">
        <v>98</v>
      </c>
      <c r="I347" s="4"/>
      <c r="J347" s="4"/>
      <c r="K347" s="4">
        <v>226</v>
      </c>
      <c r="L347" s="4">
        <v>5</v>
      </c>
      <c r="M347" s="4">
        <v>3</v>
      </c>
      <c r="N347" s="4" t="s">
        <v>3</v>
      </c>
      <c r="O347" s="4">
        <v>0</v>
      </c>
      <c r="P347" s="4"/>
      <c r="Q347" s="4"/>
      <c r="R347" s="4"/>
      <c r="S347" s="4"/>
      <c r="T347" s="4"/>
      <c r="U347" s="4"/>
      <c r="V347" s="4"/>
      <c r="W347" s="4"/>
    </row>
    <row r="348" spans="1:245" x14ac:dyDescent="0.2">
      <c r="A348" s="4">
        <v>50</v>
      </c>
      <c r="B348" s="4">
        <v>0</v>
      </c>
      <c r="C348" s="4">
        <v>0</v>
      </c>
      <c r="D348" s="4">
        <v>1</v>
      </c>
      <c r="E348" s="4">
        <v>227</v>
      </c>
      <c r="F348" s="4">
        <f>ROUND(Source!AX341,O348)</f>
        <v>0</v>
      </c>
      <c r="G348" s="4" t="s">
        <v>99</v>
      </c>
      <c r="H348" s="4" t="s">
        <v>100</v>
      </c>
      <c r="I348" s="4"/>
      <c r="J348" s="4"/>
      <c r="K348" s="4">
        <v>227</v>
      </c>
      <c r="L348" s="4">
        <v>6</v>
      </c>
      <c r="M348" s="4">
        <v>3</v>
      </c>
      <c r="N348" s="4" t="s">
        <v>3</v>
      </c>
      <c r="O348" s="4">
        <v>0</v>
      </c>
      <c r="P348" s="4"/>
      <c r="Q348" s="4"/>
      <c r="R348" s="4"/>
      <c r="S348" s="4"/>
      <c r="T348" s="4"/>
      <c r="U348" s="4"/>
      <c r="V348" s="4"/>
      <c r="W348" s="4"/>
    </row>
    <row r="349" spans="1:245" x14ac:dyDescent="0.2">
      <c r="A349" s="4">
        <v>50</v>
      </c>
      <c r="B349" s="4">
        <v>0</v>
      </c>
      <c r="C349" s="4">
        <v>0</v>
      </c>
      <c r="D349" s="4">
        <v>1</v>
      </c>
      <c r="E349" s="4">
        <v>228</v>
      </c>
      <c r="F349" s="4">
        <f>ROUND(Source!AY341,O349)</f>
        <v>7458</v>
      </c>
      <c r="G349" s="4" t="s">
        <v>101</v>
      </c>
      <c r="H349" s="4" t="s">
        <v>102</v>
      </c>
      <c r="I349" s="4"/>
      <c r="J349" s="4"/>
      <c r="K349" s="4">
        <v>228</v>
      </c>
      <c r="L349" s="4">
        <v>7</v>
      </c>
      <c r="M349" s="4">
        <v>3</v>
      </c>
      <c r="N349" s="4" t="s">
        <v>3</v>
      </c>
      <c r="O349" s="4">
        <v>0</v>
      </c>
      <c r="P349" s="4"/>
      <c r="Q349" s="4"/>
      <c r="R349" s="4"/>
      <c r="S349" s="4"/>
      <c r="T349" s="4"/>
      <c r="U349" s="4"/>
      <c r="V349" s="4"/>
      <c r="W349" s="4"/>
    </row>
    <row r="350" spans="1:245" x14ac:dyDescent="0.2">
      <c r="A350" s="4">
        <v>50</v>
      </c>
      <c r="B350" s="4">
        <v>0</v>
      </c>
      <c r="C350" s="4">
        <v>0</v>
      </c>
      <c r="D350" s="4">
        <v>1</v>
      </c>
      <c r="E350" s="4">
        <v>216</v>
      </c>
      <c r="F350" s="4">
        <f>ROUND(Source!AP341,O350)</f>
        <v>0</v>
      </c>
      <c r="G350" s="4" t="s">
        <v>103</v>
      </c>
      <c r="H350" s="4" t="s">
        <v>104</v>
      </c>
      <c r="I350" s="4"/>
      <c r="J350" s="4"/>
      <c r="K350" s="4">
        <v>216</v>
      </c>
      <c r="L350" s="4">
        <v>8</v>
      </c>
      <c r="M350" s="4">
        <v>3</v>
      </c>
      <c r="N350" s="4" t="s">
        <v>3</v>
      </c>
      <c r="O350" s="4">
        <v>0</v>
      </c>
      <c r="P350" s="4"/>
      <c r="Q350" s="4"/>
      <c r="R350" s="4"/>
      <c r="S350" s="4"/>
      <c r="T350" s="4"/>
      <c r="U350" s="4"/>
      <c r="V350" s="4"/>
      <c r="W350" s="4"/>
    </row>
    <row r="351" spans="1:245" x14ac:dyDescent="0.2">
      <c r="A351" s="4">
        <v>50</v>
      </c>
      <c r="B351" s="4">
        <v>0</v>
      </c>
      <c r="C351" s="4">
        <v>0</v>
      </c>
      <c r="D351" s="4">
        <v>1</v>
      </c>
      <c r="E351" s="4">
        <v>223</v>
      </c>
      <c r="F351" s="4">
        <f>ROUND(Source!AQ341,O351)</f>
        <v>0</v>
      </c>
      <c r="G351" s="4" t="s">
        <v>105</v>
      </c>
      <c r="H351" s="4" t="s">
        <v>106</v>
      </c>
      <c r="I351" s="4"/>
      <c r="J351" s="4"/>
      <c r="K351" s="4">
        <v>223</v>
      </c>
      <c r="L351" s="4">
        <v>9</v>
      </c>
      <c r="M351" s="4">
        <v>3</v>
      </c>
      <c r="N351" s="4" t="s">
        <v>3</v>
      </c>
      <c r="O351" s="4">
        <v>0</v>
      </c>
      <c r="P351" s="4"/>
      <c r="Q351" s="4"/>
      <c r="R351" s="4"/>
      <c r="S351" s="4"/>
      <c r="T351" s="4"/>
      <c r="U351" s="4"/>
      <c r="V351" s="4"/>
      <c r="W351" s="4"/>
    </row>
    <row r="352" spans="1:245" x14ac:dyDescent="0.2">
      <c r="A352" s="4">
        <v>50</v>
      </c>
      <c r="B352" s="4">
        <v>0</v>
      </c>
      <c r="C352" s="4">
        <v>0</v>
      </c>
      <c r="D352" s="4">
        <v>1</v>
      </c>
      <c r="E352" s="4">
        <v>229</v>
      </c>
      <c r="F352" s="4">
        <f>ROUND(Source!AZ341,O352)</f>
        <v>0</v>
      </c>
      <c r="G352" s="4" t="s">
        <v>107</v>
      </c>
      <c r="H352" s="4" t="s">
        <v>108</v>
      </c>
      <c r="I352" s="4"/>
      <c r="J352" s="4"/>
      <c r="K352" s="4">
        <v>229</v>
      </c>
      <c r="L352" s="4">
        <v>10</v>
      </c>
      <c r="M352" s="4">
        <v>3</v>
      </c>
      <c r="N352" s="4" t="s">
        <v>3</v>
      </c>
      <c r="O352" s="4">
        <v>0</v>
      </c>
      <c r="P352" s="4"/>
      <c r="Q352" s="4"/>
      <c r="R352" s="4"/>
      <c r="S352" s="4"/>
      <c r="T352" s="4"/>
      <c r="U352" s="4"/>
      <c r="V352" s="4"/>
      <c r="W352" s="4"/>
    </row>
    <row r="353" spans="1:23" x14ac:dyDescent="0.2">
      <c r="A353" s="4">
        <v>50</v>
      </c>
      <c r="B353" s="4">
        <v>0</v>
      </c>
      <c r="C353" s="4">
        <v>0</v>
      </c>
      <c r="D353" s="4">
        <v>1</v>
      </c>
      <c r="E353" s="4">
        <v>203</v>
      </c>
      <c r="F353" s="4">
        <f>ROUND(Source!Q341,O353)</f>
        <v>8</v>
      </c>
      <c r="G353" s="4" t="s">
        <v>109</v>
      </c>
      <c r="H353" s="4" t="s">
        <v>110</v>
      </c>
      <c r="I353" s="4"/>
      <c r="J353" s="4"/>
      <c r="K353" s="4">
        <v>203</v>
      </c>
      <c r="L353" s="4">
        <v>11</v>
      </c>
      <c r="M353" s="4">
        <v>3</v>
      </c>
      <c r="N353" s="4" t="s">
        <v>3</v>
      </c>
      <c r="O353" s="4">
        <v>0</v>
      </c>
      <c r="P353" s="4"/>
      <c r="Q353" s="4"/>
      <c r="R353" s="4"/>
      <c r="S353" s="4"/>
      <c r="T353" s="4"/>
      <c r="U353" s="4"/>
      <c r="V353" s="4"/>
      <c r="W353" s="4"/>
    </row>
    <row r="354" spans="1:23" x14ac:dyDescent="0.2">
      <c r="A354" s="4">
        <v>50</v>
      </c>
      <c r="B354" s="4">
        <v>0</v>
      </c>
      <c r="C354" s="4">
        <v>0</v>
      </c>
      <c r="D354" s="4">
        <v>1</v>
      </c>
      <c r="E354" s="4">
        <v>231</v>
      </c>
      <c r="F354" s="4">
        <f>ROUND(Source!BB341,O354)</f>
        <v>0</v>
      </c>
      <c r="G354" s="4" t="s">
        <v>111</v>
      </c>
      <c r="H354" s="4" t="s">
        <v>112</v>
      </c>
      <c r="I354" s="4"/>
      <c r="J354" s="4"/>
      <c r="K354" s="4">
        <v>231</v>
      </c>
      <c r="L354" s="4">
        <v>12</v>
      </c>
      <c r="M354" s="4">
        <v>3</v>
      </c>
      <c r="N354" s="4" t="s">
        <v>3</v>
      </c>
      <c r="O354" s="4">
        <v>0</v>
      </c>
      <c r="P354" s="4"/>
      <c r="Q354" s="4"/>
      <c r="R354" s="4"/>
      <c r="S354" s="4"/>
      <c r="T354" s="4"/>
      <c r="U354" s="4"/>
      <c r="V354" s="4"/>
      <c r="W354" s="4"/>
    </row>
    <row r="355" spans="1:23" x14ac:dyDescent="0.2">
      <c r="A355" s="4">
        <v>50</v>
      </c>
      <c r="B355" s="4">
        <v>0</v>
      </c>
      <c r="C355" s="4">
        <v>0</v>
      </c>
      <c r="D355" s="4">
        <v>1</v>
      </c>
      <c r="E355" s="4">
        <v>204</v>
      </c>
      <c r="F355" s="4">
        <f>ROUND(Source!R341,O355)</f>
        <v>1</v>
      </c>
      <c r="G355" s="4" t="s">
        <v>113</v>
      </c>
      <c r="H355" s="4" t="s">
        <v>114</v>
      </c>
      <c r="I355" s="4"/>
      <c r="J355" s="4"/>
      <c r="K355" s="4">
        <v>204</v>
      </c>
      <c r="L355" s="4">
        <v>13</v>
      </c>
      <c r="M355" s="4">
        <v>3</v>
      </c>
      <c r="N355" s="4" t="s">
        <v>3</v>
      </c>
      <c r="O355" s="4">
        <v>0</v>
      </c>
      <c r="P355" s="4"/>
      <c r="Q355" s="4"/>
      <c r="R355" s="4"/>
      <c r="S355" s="4"/>
      <c r="T355" s="4"/>
      <c r="U355" s="4"/>
      <c r="V355" s="4"/>
      <c r="W355" s="4"/>
    </row>
    <row r="356" spans="1:23" x14ac:dyDescent="0.2">
      <c r="A356" s="4">
        <v>50</v>
      </c>
      <c r="B356" s="4">
        <v>0</v>
      </c>
      <c r="C356" s="4">
        <v>0</v>
      </c>
      <c r="D356" s="4">
        <v>1</v>
      </c>
      <c r="E356" s="4">
        <v>205</v>
      </c>
      <c r="F356" s="4">
        <f>ROUND(Source!S341,O356)</f>
        <v>25</v>
      </c>
      <c r="G356" s="4" t="s">
        <v>115</v>
      </c>
      <c r="H356" s="4" t="s">
        <v>116</v>
      </c>
      <c r="I356" s="4"/>
      <c r="J356" s="4"/>
      <c r="K356" s="4">
        <v>205</v>
      </c>
      <c r="L356" s="4">
        <v>14</v>
      </c>
      <c r="M356" s="4">
        <v>3</v>
      </c>
      <c r="N356" s="4" t="s">
        <v>3</v>
      </c>
      <c r="O356" s="4">
        <v>0</v>
      </c>
      <c r="P356" s="4"/>
      <c r="Q356" s="4"/>
      <c r="R356" s="4"/>
      <c r="S356" s="4"/>
      <c r="T356" s="4"/>
      <c r="U356" s="4"/>
      <c r="V356" s="4"/>
      <c r="W356" s="4"/>
    </row>
    <row r="357" spans="1:23" x14ac:dyDescent="0.2">
      <c r="A357" s="4">
        <v>50</v>
      </c>
      <c r="B357" s="4">
        <v>0</v>
      </c>
      <c r="C357" s="4">
        <v>0</v>
      </c>
      <c r="D357" s="4">
        <v>1</v>
      </c>
      <c r="E357" s="4">
        <v>232</v>
      </c>
      <c r="F357" s="4">
        <f>ROUND(Source!BC341,O357)</f>
        <v>0</v>
      </c>
      <c r="G357" s="4" t="s">
        <v>117</v>
      </c>
      <c r="H357" s="4" t="s">
        <v>118</v>
      </c>
      <c r="I357" s="4"/>
      <c r="J357" s="4"/>
      <c r="K357" s="4">
        <v>232</v>
      </c>
      <c r="L357" s="4">
        <v>15</v>
      </c>
      <c r="M357" s="4">
        <v>3</v>
      </c>
      <c r="N357" s="4" t="s">
        <v>3</v>
      </c>
      <c r="O357" s="4">
        <v>0</v>
      </c>
      <c r="P357" s="4"/>
      <c r="Q357" s="4"/>
      <c r="R357" s="4"/>
      <c r="S357" s="4"/>
      <c r="T357" s="4"/>
      <c r="U357" s="4"/>
      <c r="V357" s="4"/>
      <c r="W357" s="4"/>
    </row>
    <row r="358" spans="1:23" x14ac:dyDescent="0.2">
      <c r="A358" s="4">
        <v>50</v>
      </c>
      <c r="B358" s="4">
        <v>0</v>
      </c>
      <c r="C358" s="4">
        <v>0</v>
      </c>
      <c r="D358" s="4">
        <v>1</v>
      </c>
      <c r="E358" s="4">
        <v>214</v>
      </c>
      <c r="F358" s="4">
        <f>ROUND(Source!AS341,O358)</f>
        <v>7523</v>
      </c>
      <c r="G358" s="4" t="s">
        <v>119</v>
      </c>
      <c r="H358" s="4" t="s">
        <v>120</v>
      </c>
      <c r="I358" s="4"/>
      <c r="J358" s="4"/>
      <c r="K358" s="4">
        <v>214</v>
      </c>
      <c r="L358" s="4">
        <v>16</v>
      </c>
      <c r="M358" s="4">
        <v>3</v>
      </c>
      <c r="N358" s="4" t="s">
        <v>3</v>
      </c>
      <c r="O358" s="4">
        <v>0</v>
      </c>
      <c r="P358" s="4"/>
      <c r="Q358" s="4"/>
      <c r="R358" s="4"/>
      <c r="S358" s="4"/>
      <c r="T358" s="4"/>
      <c r="U358" s="4"/>
      <c r="V358" s="4"/>
      <c r="W358" s="4"/>
    </row>
    <row r="359" spans="1:23" x14ac:dyDescent="0.2">
      <c r="A359" s="4">
        <v>50</v>
      </c>
      <c r="B359" s="4">
        <v>0</v>
      </c>
      <c r="C359" s="4">
        <v>0</v>
      </c>
      <c r="D359" s="4">
        <v>1</v>
      </c>
      <c r="E359" s="4">
        <v>215</v>
      </c>
      <c r="F359" s="4">
        <f>ROUND(Source!AT341,O359)</f>
        <v>0</v>
      </c>
      <c r="G359" s="4" t="s">
        <v>121</v>
      </c>
      <c r="H359" s="4" t="s">
        <v>122</v>
      </c>
      <c r="I359" s="4"/>
      <c r="J359" s="4"/>
      <c r="K359" s="4">
        <v>215</v>
      </c>
      <c r="L359" s="4">
        <v>17</v>
      </c>
      <c r="M359" s="4">
        <v>3</v>
      </c>
      <c r="N359" s="4" t="s">
        <v>3</v>
      </c>
      <c r="O359" s="4">
        <v>0</v>
      </c>
      <c r="P359" s="4"/>
      <c r="Q359" s="4"/>
      <c r="R359" s="4"/>
      <c r="S359" s="4"/>
      <c r="T359" s="4"/>
      <c r="U359" s="4"/>
      <c r="V359" s="4"/>
      <c r="W359" s="4"/>
    </row>
    <row r="360" spans="1:23" x14ac:dyDescent="0.2">
      <c r="A360" s="4">
        <v>50</v>
      </c>
      <c r="B360" s="4">
        <v>0</v>
      </c>
      <c r="C360" s="4">
        <v>0</v>
      </c>
      <c r="D360" s="4">
        <v>1</v>
      </c>
      <c r="E360" s="4">
        <v>217</v>
      </c>
      <c r="F360" s="4">
        <f>ROUND(Source!AU341,O360)</f>
        <v>0</v>
      </c>
      <c r="G360" s="4" t="s">
        <v>123</v>
      </c>
      <c r="H360" s="4" t="s">
        <v>124</v>
      </c>
      <c r="I360" s="4"/>
      <c r="J360" s="4"/>
      <c r="K360" s="4">
        <v>217</v>
      </c>
      <c r="L360" s="4">
        <v>18</v>
      </c>
      <c r="M360" s="4">
        <v>3</v>
      </c>
      <c r="N360" s="4" t="s">
        <v>3</v>
      </c>
      <c r="O360" s="4">
        <v>0</v>
      </c>
      <c r="P360" s="4"/>
      <c r="Q360" s="4"/>
      <c r="R360" s="4"/>
      <c r="S360" s="4"/>
      <c r="T360" s="4"/>
      <c r="U360" s="4"/>
      <c r="V360" s="4"/>
      <c r="W360" s="4"/>
    </row>
    <row r="361" spans="1:23" x14ac:dyDescent="0.2">
      <c r="A361" s="4">
        <v>50</v>
      </c>
      <c r="B361" s="4">
        <v>0</v>
      </c>
      <c r="C361" s="4">
        <v>0</v>
      </c>
      <c r="D361" s="4">
        <v>1</v>
      </c>
      <c r="E361" s="4">
        <v>230</v>
      </c>
      <c r="F361" s="4">
        <f>ROUND(Source!BA341,O361)</f>
        <v>0</v>
      </c>
      <c r="G361" s="4" t="s">
        <v>125</v>
      </c>
      <c r="H361" s="4" t="s">
        <v>126</v>
      </c>
      <c r="I361" s="4"/>
      <c r="J361" s="4"/>
      <c r="K361" s="4">
        <v>230</v>
      </c>
      <c r="L361" s="4">
        <v>19</v>
      </c>
      <c r="M361" s="4">
        <v>3</v>
      </c>
      <c r="N361" s="4" t="s">
        <v>3</v>
      </c>
      <c r="O361" s="4">
        <v>0</v>
      </c>
      <c r="P361" s="4"/>
      <c r="Q361" s="4"/>
      <c r="R361" s="4"/>
      <c r="S361" s="4"/>
      <c r="T361" s="4"/>
      <c r="U361" s="4"/>
      <c r="V361" s="4"/>
      <c r="W361" s="4"/>
    </row>
    <row r="362" spans="1:23" x14ac:dyDescent="0.2">
      <c r="A362" s="4">
        <v>50</v>
      </c>
      <c r="B362" s="4">
        <v>0</v>
      </c>
      <c r="C362" s="4">
        <v>0</v>
      </c>
      <c r="D362" s="4">
        <v>1</v>
      </c>
      <c r="E362" s="4">
        <v>206</v>
      </c>
      <c r="F362" s="4">
        <f>ROUND(Source!T341,O362)</f>
        <v>0</v>
      </c>
      <c r="G362" s="4" t="s">
        <v>127</v>
      </c>
      <c r="H362" s="4" t="s">
        <v>128</v>
      </c>
      <c r="I362" s="4"/>
      <c r="J362" s="4"/>
      <c r="K362" s="4">
        <v>206</v>
      </c>
      <c r="L362" s="4">
        <v>20</v>
      </c>
      <c r="M362" s="4">
        <v>3</v>
      </c>
      <c r="N362" s="4" t="s">
        <v>3</v>
      </c>
      <c r="O362" s="4">
        <v>0</v>
      </c>
      <c r="P362" s="4"/>
      <c r="Q362" s="4"/>
      <c r="R362" s="4"/>
      <c r="S362" s="4"/>
      <c r="T362" s="4"/>
      <c r="U362" s="4"/>
      <c r="V362" s="4"/>
      <c r="W362" s="4"/>
    </row>
    <row r="363" spans="1:23" x14ac:dyDescent="0.2">
      <c r="A363" s="4">
        <v>50</v>
      </c>
      <c r="B363" s="4">
        <v>0</v>
      </c>
      <c r="C363" s="4">
        <v>0</v>
      </c>
      <c r="D363" s="4">
        <v>1</v>
      </c>
      <c r="E363" s="4">
        <v>207</v>
      </c>
      <c r="F363" s="4">
        <f>Source!U341</f>
        <v>3.8741775000000001</v>
      </c>
      <c r="G363" s="4" t="s">
        <v>129</v>
      </c>
      <c r="H363" s="4" t="s">
        <v>130</v>
      </c>
      <c r="I363" s="4"/>
      <c r="J363" s="4"/>
      <c r="K363" s="4">
        <v>207</v>
      </c>
      <c r="L363" s="4">
        <v>21</v>
      </c>
      <c r="M363" s="4">
        <v>3</v>
      </c>
      <c r="N363" s="4" t="s">
        <v>3</v>
      </c>
      <c r="O363" s="4">
        <v>-1</v>
      </c>
      <c r="P363" s="4"/>
      <c r="Q363" s="4"/>
      <c r="R363" s="4"/>
      <c r="S363" s="4"/>
      <c r="T363" s="4"/>
      <c r="U363" s="4"/>
      <c r="V363" s="4"/>
      <c r="W363" s="4"/>
    </row>
    <row r="364" spans="1:23" x14ac:dyDescent="0.2">
      <c r="A364" s="4">
        <v>50</v>
      </c>
      <c r="B364" s="4">
        <v>0</v>
      </c>
      <c r="C364" s="4">
        <v>0</v>
      </c>
      <c r="D364" s="4">
        <v>1</v>
      </c>
      <c r="E364" s="4">
        <v>208</v>
      </c>
      <c r="F364" s="4">
        <f>Source!V341</f>
        <v>9.2250000000000013E-2</v>
      </c>
      <c r="G364" s="4" t="s">
        <v>131</v>
      </c>
      <c r="H364" s="4" t="s">
        <v>132</v>
      </c>
      <c r="I364" s="4"/>
      <c r="J364" s="4"/>
      <c r="K364" s="4">
        <v>208</v>
      </c>
      <c r="L364" s="4">
        <v>22</v>
      </c>
      <c r="M364" s="4">
        <v>3</v>
      </c>
      <c r="N364" s="4" t="s">
        <v>3</v>
      </c>
      <c r="O364" s="4">
        <v>-1</v>
      </c>
      <c r="P364" s="4"/>
      <c r="Q364" s="4"/>
      <c r="R364" s="4"/>
      <c r="S364" s="4"/>
      <c r="T364" s="4"/>
      <c r="U364" s="4"/>
      <c r="V364" s="4"/>
      <c r="W364" s="4"/>
    </row>
    <row r="365" spans="1:23" x14ac:dyDescent="0.2">
      <c r="A365" s="4">
        <v>50</v>
      </c>
      <c r="B365" s="4">
        <v>0</v>
      </c>
      <c r="C365" s="4">
        <v>0</v>
      </c>
      <c r="D365" s="4">
        <v>1</v>
      </c>
      <c r="E365" s="4">
        <v>209</v>
      </c>
      <c r="F365" s="4">
        <f>ROUND(Source!W341,O365)</f>
        <v>0</v>
      </c>
      <c r="G365" s="4" t="s">
        <v>133</v>
      </c>
      <c r="H365" s="4" t="s">
        <v>134</v>
      </c>
      <c r="I365" s="4"/>
      <c r="J365" s="4"/>
      <c r="K365" s="4">
        <v>209</v>
      </c>
      <c r="L365" s="4">
        <v>23</v>
      </c>
      <c r="M365" s="4">
        <v>3</v>
      </c>
      <c r="N365" s="4" t="s">
        <v>3</v>
      </c>
      <c r="O365" s="4">
        <v>0</v>
      </c>
      <c r="P365" s="4"/>
      <c r="Q365" s="4"/>
      <c r="R365" s="4"/>
      <c r="S365" s="4"/>
      <c r="T365" s="4"/>
      <c r="U365" s="4"/>
      <c r="V365" s="4"/>
      <c r="W365" s="4"/>
    </row>
    <row r="366" spans="1:23" x14ac:dyDescent="0.2">
      <c r="A366" s="4">
        <v>50</v>
      </c>
      <c r="B366" s="4">
        <v>0</v>
      </c>
      <c r="C366" s="4">
        <v>0</v>
      </c>
      <c r="D366" s="4">
        <v>1</v>
      </c>
      <c r="E366" s="4">
        <v>233</v>
      </c>
      <c r="F366" s="4">
        <f>ROUND(Source!BD341,O366)</f>
        <v>0</v>
      </c>
      <c r="G366" s="4" t="s">
        <v>135</v>
      </c>
      <c r="H366" s="4" t="s">
        <v>136</v>
      </c>
      <c r="I366" s="4"/>
      <c r="J366" s="4"/>
      <c r="K366" s="4">
        <v>233</v>
      </c>
      <c r="L366" s="4">
        <v>24</v>
      </c>
      <c r="M366" s="4">
        <v>3</v>
      </c>
      <c r="N366" s="4" t="s">
        <v>3</v>
      </c>
      <c r="O366" s="4">
        <v>0</v>
      </c>
      <c r="P366" s="4"/>
      <c r="Q366" s="4"/>
      <c r="R366" s="4"/>
      <c r="S366" s="4"/>
      <c r="T366" s="4"/>
      <c r="U366" s="4"/>
      <c r="V366" s="4"/>
      <c r="W366" s="4"/>
    </row>
    <row r="367" spans="1:23" x14ac:dyDescent="0.2">
      <c r="A367" s="4">
        <v>50</v>
      </c>
      <c r="B367" s="4">
        <v>0</v>
      </c>
      <c r="C367" s="4">
        <v>0</v>
      </c>
      <c r="D367" s="4">
        <v>1</v>
      </c>
      <c r="E367" s="4">
        <v>210</v>
      </c>
      <c r="F367" s="4">
        <f>ROUND(Source!X341,O367)</f>
        <v>22</v>
      </c>
      <c r="G367" s="4" t="s">
        <v>137</v>
      </c>
      <c r="H367" s="4" t="s">
        <v>138</v>
      </c>
      <c r="I367" s="4"/>
      <c r="J367" s="4"/>
      <c r="K367" s="4">
        <v>210</v>
      </c>
      <c r="L367" s="4">
        <v>25</v>
      </c>
      <c r="M367" s="4">
        <v>3</v>
      </c>
      <c r="N367" s="4" t="s">
        <v>3</v>
      </c>
      <c r="O367" s="4">
        <v>0</v>
      </c>
      <c r="P367" s="4"/>
      <c r="Q367" s="4"/>
      <c r="R367" s="4"/>
      <c r="S367" s="4"/>
      <c r="T367" s="4"/>
      <c r="U367" s="4"/>
      <c r="V367" s="4"/>
      <c r="W367" s="4"/>
    </row>
    <row r="368" spans="1:23" x14ac:dyDescent="0.2">
      <c r="A368" s="4">
        <v>50</v>
      </c>
      <c r="B368" s="4">
        <v>0</v>
      </c>
      <c r="C368" s="4">
        <v>0</v>
      </c>
      <c r="D368" s="4">
        <v>1</v>
      </c>
      <c r="E368" s="4">
        <v>211</v>
      </c>
      <c r="F368" s="4">
        <f>ROUND(Source!Y341,O368)</f>
        <v>10</v>
      </c>
      <c r="G368" s="4" t="s">
        <v>139</v>
      </c>
      <c r="H368" s="4" t="s">
        <v>140</v>
      </c>
      <c r="I368" s="4"/>
      <c r="J368" s="4"/>
      <c r="K368" s="4">
        <v>211</v>
      </c>
      <c r="L368" s="4">
        <v>26</v>
      </c>
      <c r="M368" s="4">
        <v>3</v>
      </c>
      <c r="N368" s="4" t="s">
        <v>3</v>
      </c>
      <c r="O368" s="4">
        <v>0</v>
      </c>
      <c r="P368" s="4"/>
      <c r="Q368" s="4"/>
      <c r="R368" s="4"/>
      <c r="S368" s="4"/>
      <c r="T368" s="4"/>
      <c r="U368" s="4"/>
      <c r="V368" s="4"/>
      <c r="W368" s="4"/>
    </row>
    <row r="369" spans="1:206" x14ac:dyDescent="0.2">
      <c r="A369" s="4">
        <v>50</v>
      </c>
      <c r="B369" s="4">
        <v>0</v>
      </c>
      <c r="C369" s="4">
        <v>0</v>
      </c>
      <c r="D369" s="4">
        <v>1</v>
      </c>
      <c r="E369" s="4">
        <v>224</v>
      </c>
      <c r="F369" s="4">
        <f>ROUND(Source!AR341,O369)</f>
        <v>7523</v>
      </c>
      <c r="G369" s="4" t="s">
        <v>141</v>
      </c>
      <c r="H369" s="4" t="s">
        <v>142</v>
      </c>
      <c r="I369" s="4"/>
      <c r="J369" s="4"/>
      <c r="K369" s="4">
        <v>224</v>
      </c>
      <c r="L369" s="4">
        <v>27</v>
      </c>
      <c r="M369" s="4">
        <v>3</v>
      </c>
      <c r="N369" s="4" t="s">
        <v>3</v>
      </c>
      <c r="O369" s="4">
        <v>0</v>
      </c>
      <c r="P369" s="4"/>
      <c r="Q369" s="4"/>
      <c r="R369" s="4"/>
      <c r="S369" s="4"/>
      <c r="T369" s="4"/>
      <c r="U369" s="4"/>
      <c r="V369" s="4"/>
      <c r="W369" s="4"/>
    </row>
    <row r="371" spans="1:206" x14ac:dyDescent="0.2">
      <c r="A371" s="2">
        <v>51</v>
      </c>
      <c r="B371" s="2">
        <f>B24</f>
        <v>1</v>
      </c>
      <c r="C371" s="2">
        <f>A24</f>
        <v>4</v>
      </c>
      <c r="D371" s="2">
        <f>ROW(A24)</f>
        <v>24</v>
      </c>
      <c r="E371" s="2"/>
      <c r="F371" s="2" t="str">
        <f>IF(F24&lt;&gt;"",F24,"")</f>
        <v>Новый раздел</v>
      </c>
      <c r="G371" s="2" t="str">
        <f>IF(G24&lt;&gt;"",G24,"")</f>
        <v>1.  ул. Черняховского, д.14А</v>
      </c>
      <c r="H371" s="2">
        <v>0</v>
      </c>
      <c r="I371" s="2"/>
      <c r="J371" s="2"/>
      <c r="K371" s="2"/>
      <c r="L371" s="2"/>
      <c r="M371" s="2"/>
      <c r="N371" s="2"/>
      <c r="O371" s="2">
        <f t="shared" ref="O371:T371" si="272">ROUND(O45+O79+O129+O172+O219+O263+O302+O341+AB371,0)</f>
        <v>505387</v>
      </c>
      <c r="P371" s="2">
        <f t="shared" si="272"/>
        <v>431759</v>
      </c>
      <c r="Q371" s="2">
        <f t="shared" si="272"/>
        <v>61502</v>
      </c>
      <c r="R371" s="2">
        <f t="shared" si="272"/>
        <v>3884</v>
      </c>
      <c r="S371" s="2">
        <f t="shared" si="272"/>
        <v>12126</v>
      </c>
      <c r="T371" s="2">
        <f t="shared" si="272"/>
        <v>0</v>
      </c>
      <c r="U371" s="2">
        <f>U45+U79+U129+U172+U219+U263+U302+U341+AH371</f>
        <v>1743.8319370999998</v>
      </c>
      <c r="V371" s="2">
        <f>V45+V79+V129+V172+V219+V263+V302+V341+AI371</f>
        <v>303.27306824999999</v>
      </c>
      <c r="W371" s="2">
        <f>ROUND(W45+W79+W129+W172+W219+W263+W302+W341+AJ371,0)</f>
        <v>0</v>
      </c>
      <c r="X371" s="2">
        <f>ROUND(X45+X79+X129+X172+X219+X263+X302+X341+AK371,0)</f>
        <v>20904</v>
      </c>
      <c r="Y371" s="2">
        <f>ROUND(Y45+Y79+Y129+Y172+Y219+Y263+Y302+Y341+AL371,0)</f>
        <v>11844</v>
      </c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>
        <f t="shared" ref="AO371:BD371" si="273">ROUND(AO45+AO79+AO129+AO172+AO219+AO263+AO302+AO341+BX371,0)</f>
        <v>0</v>
      </c>
      <c r="AP371" s="2">
        <f t="shared" si="273"/>
        <v>0</v>
      </c>
      <c r="AQ371" s="2">
        <f t="shared" si="273"/>
        <v>0</v>
      </c>
      <c r="AR371" s="2">
        <f t="shared" si="273"/>
        <v>538135</v>
      </c>
      <c r="AS371" s="2">
        <f t="shared" si="273"/>
        <v>538135</v>
      </c>
      <c r="AT371" s="2">
        <f t="shared" si="273"/>
        <v>0</v>
      </c>
      <c r="AU371" s="2">
        <f t="shared" si="273"/>
        <v>0</v>
      </c>
      <c r="AV371" s="2">
        <f t="shared" si="273"/>
        <v>431759</v>
      </c>
      <c r="AW371" s="2">
        <f t="shared" si="273"/>
        <v>431759</v>
      </c>
      <c r="AX371" s="2">
        <f t="shared" si="273"/>
        <v>0</v>
      </c>
      <c r="AY371" s="2">
        <f t="shared" si="273"/>
        <v>431759</v>
      </c>
      <c r="AZ371" s="2">
        <f t="shared" si="273"/>
        <v>0</v>
      </c>
      <c r="BA371" s="2">
        <f t="shared" si="273"/>
        <v>0</v>
      </c>
      <c r="BB371" s="2">
        <f t="shared" si="273"/>
        <v>0</v>
      </c>
      <c r="BC371" s="2">
        <f t="shared" si="273"/>
        <v>0</v>
      </c>
      <c r="BD371" s="2">
        <f t="shared" si="273"/>
        <v>6675</v>
      </c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3"/>
      <c r="DH371" s="3"/>
      <c r="DI371" s="3"/>
      <c r="DJ371" s="3"/>
      <c r="DK371" s="3"/>
      <c r="DL371" s="3"/>
      <c r="DM371" s="3"/>
      <c r="DN371" s="3"/>
      <c r="DO371" s="3"/>
      <c r="DP371" s="3"/>
      <c r="DQ371" s="3"/>
      <c r="DR371" s="3"/>
      <c r="DS371" s="3"/>
      <c r="DT371" s="3"/>
      <c r="DU371" s="3"/>
      <c r="DV371" s="3"/>
      <c r="DW371" s="3"/>
      <c r="DX371" s="3"/>
      <c r="DY371" s="3"/>
      <c r="DZ371" s="3"/>
      <c r="EA371" s="3"/>
      <c r="EB371" s="3"/>
      <c r="EC371" s="3"/>
      <c r="ED371" s="3"/>
      <c r="EE371" s="3"/>
      <c r="EF371" s="3"/>
      <c r="EG371" s="3"/>
      <c r="EH371" s="3"/>
      <c r="EI371" s="3"/>
      <c r="EJ371" s="3"/>
      <c r="EK371" s="3"/>
      <c r="EL371" s="3"/>
      <c r="EM371" s="3"/>
      <c r="EN371" s="3"/>
      <c r="EO371" s="3"/>
      <c r="EP371" s="3"/>
      <c r="EQ371" s="3"/>
      <c r="ER371" s="3"/>
      <c r="ES371" s="3"/>
      <c r="ET371" s="3"/>
      <c r="EU371" s="3"/>
      <c r="EV371" s="3"/>
      <c r="EW371" s="3"/>
      <c r="EX371" s="3"/>
      <c r="EY371" s="3"/>
      <c r="EZ371" s="3"/>
      <c r="FA371" s="3"/>
      <c r="FB371" s="3"/>
      <c r="FC371" s="3"/>
      <c r="FD371" s="3"/>
      <c r="FE371" s="3"/>
      <c r="FF371" s="3"/>
      <c r="FG371" s="3"/>
      <c r="FH371" s="3"/>
      <c r="FI371" s="3"/>
      <c r="FJ371" s="3"/>
      <c r="FK371" s="3"/>
      <c r="FL371" s="3"/>
      <c r="FM371" s="3"/>
      <c r="FN371" s="3"/>
      <c r="FO371" s="3"/>
      <c r="FP371" s="3"/>
      <c r="FQ371" s="3"/>
      <c r="FR371" s="3"/>
      <c r="FS371" s="3"/>
      <c r="FT371" s="3"/>
      <c r="FU371" s="3"/>
      <c r="FV371" s="3"/>
      <c r="FW371" s="3"/>
      <c r="FX371" s="3"/>
      <c r="FY371" s="3"/>
      <c r="FZ371" s="3"/>
      <c r="GA371" s="3"/>
      <c r="GB371" s="3"/>
      <c r="GC371" s="3"/>
      <c r="GD371" s="3"/>
      <c r="GE371" s="3"/>
      <c r="GF371" s="3"/>
      <c r="GG371" s="3"/>
      <c r="GH371" s="3"/>
      <c r="GI371" s="3"/>
      <c r="GJ371" s="3"/>
      <c r="GK371" s="3"/>
      <c r="GL371" s="3"/>
      <c r="GM371" s="3"/>
      <c r="GN371" s="3"/>
      <c r="GO371" s="3"/>
      <c r="GP371" s="3"/>
      <c r="GQ371" s="3"/>
      <c r="GR371" s="3"/>
      <c r="GS371" s="3"/>
      <c r="GT371" s="3"/>
      <c r="GU371" s="3"/>
      <c r="GV371" s="3"/>
      <c r="GW371" s="3"/>
      <c r="GX371" s="3">
        <v>0</v>
      </c>
    </row>
    <row r="373" spans="1:206" x14ac:dyDescent="0.2">
      <c r="A373" s="4">
        <v>50</v>
      </c>
      <c r="B373" s="4">
        <v>0</v>
      </c>
      <c r="C373" s="4">
        <v>0</v>
      </c>
      <c r="D373" s="4">
        <v>1</v>
      </c>
      <c r="E373" s="4">
        <v>0</v>
      </c>
      <c r="F373" s="4">
        <f>ROUND(Source!O371,O373)</f>
        <v>505387</v>
      </c>
      <c r="G373" s="4" t="s">
        <v>89</v>
      </c>
      <c r="H373" s="4" t="s">
        <v>90</v>
      </c>
      <c r="I373" s="4"/>
      <c r="J373" s="4"/>
      <c r="K373" s="4">
        <v>201</v>
      </c>
      <c r="L373" s="4">
        <v>1</v>
      </c>
      <c r="M373" s="4">
        <v>3</v>
      </c>
      <c r="N373" s="4" t="s">
        <v>3</v>
      </c>
      <c r="O373" s="4">
        <v>0</v>
      </c>
      <c r="P373" s="4"/>
      <c r="Q373" s="4"/>
      <c r="R373" s="4"/>
      <c r="S373" s="4"/>
      <c r="T373" s="4"/>
      <c r="U373" s="4"/>
      <c r="V373" s="4"/>
      <c r="W373" s="4"/>
    </row>
    <row r="374" spans="1:206" x14ac:dyDescent="0.2">
      <c r="A374" s="4">
        <v>50</v>
      </c>
      <c r="B374" s="4">
        <v>0</v>
      </c>
      <c r="C374" s="4">
        <v>0</v>
      </c>
      <c r="D374" s="4">
        <v>1</v>
      </c>
      <c r="E374" s="4">
        <v>202</v>
      </c>
      <c r="F374" s="4">
        <f>ROUND(Source!P371,O374)</f>
        <v>431759</v>
      </c>
      <c r="G374" s="4" t="s">
        <v>91</v>
      </c>
      <c r="H374" s="4" t="s">
        <v>92</v>
      </c>
      <c r="I374" s="4"/>
      <c r="J374" s="4"/>
      <c r="K374" s="4">
        <v>202</v>
      </c>
      <c r="L374" s="4">
        <v>2</v>
      </c>
      <c r="M374" s="4">
        <v>3</v>
      </c>
      <c r="N374" s="4" t="s">
        <v>3</v>
      </c>
      <c r="O374" s="4">
        <v>0</v>
      </c>
      <c r="P374" s="4"/>
      <c r="Q374" s="4"/>
      <c r="R374" s="4"/>
      <c r="S374" s="4"/>
      <c r="T374" s="4"/>
      <c r="U374" s="4"/>
      <c r="V374" s="4"/>
      <c r="W374" s="4"/>
    </row>
    <row r="375" spans="1:206" x14ac:dyDescent="0.2">
      <c r="A375" s="4">
        <v>50</v>
      </c>
      <c r="B375" s="4">
        <v>0</v>
      </c>
      <c r="C375" s="4">
        <v>0</v>
      </c>
      <c r="D375" s="4">
        <v>1</v>
      </c>
      <c r="E375" s="4">
        <v>222</v>
      </c>
      <c r="F375" s="4">
        <f>ROUND(Source!AO371,O375)</f>
        <v>0</v>
      </c>
      <c r="G375" s="4" t="s">
        <v>93</v>
      </c>
      <c r="H375" s="4" t="s">
        <v>94</v>
      </c>
      <c r="I375" s="4"/>
      <c r="J375" s="4"/>
      <c r="K375" s="4">
        <v>222</v>
      </c>
      <c r="L375" s="4">
        <v>3</v>
      </c>
      <c r="M375" s="4">
        <v>3</v>
      </c>
      <c r="N375" s="4" t="s">
        <v>3</v>
      </c>
      <c r="O375" s="4">
        <v>0</v>
      </c>
      <c r="P375" s="4"/>
      <c r="Q375" s="4"/>
      <c r="R375" s="4"/>
      <c r="S375" s="4"/>
      <c r="T375" s="4"/>
      <c r="U375" s="4"/>
      <c r="V375" s="4"/>
      <c r="W375" s="4"/>
    </row>
    <row r="376" spans="1:206" x14ac:dyDescent="0.2">
      <c r="A376" s="4">
        <v>50</v>
      </c>
      <c r="B376" s="4">
        <v>0</v>
      </c>
      <c r="C376" s="4">
        <v>0</v>
      </c>
      <c r="D376" s="4">
        <v>1</v>
      </c>
      <c r="E376" s="4">
        <v>225</v>
      </c>
      <c r="F376" s="4">
        <f>ROUND(Source!AV371,O376)</f>
        <v>431759</v>
      </c>
      <c r="G376" s="4" t="s">
        <v>95</v>
      </c>
      <c r="H376" s="4" t="s">
        <v>96</v>
      </c>
      <c r="I376" s="4"/>
      <c r="J376" s="4"/>
      <c r="K376" s="4">
        <v>225</v>
      </c>
      <c r="L376" s="4">
        <v>4</v>
      </c>
      <c r="M376" s="4">
        <v>3</v>
      </c>
      <c r="N376" s="4" t="s">
        <v>3</v>
      </c>
      <c r="O376" s="4">
        <v>0</v>
      </c>
      <c r="P376" s="4"/>
      <c r="Q376" s="4"/>
      <c r="R376" s="4"/>
      <c r="S376" s="4"/>
      <c r="T376" s="4"/>
      <c r="U376" s="4"/>
      <c r="V376" s="4"/>
      <c r="W376" s="4"/>
    </row>
    <row r="377" spans="1:206" x14ac:dyDescent="0.2">
      <c r="A377" s="4">
        <v>50</v>
      </c>
      <c r="B377" s="4">
        <v>0</v>
      </c>
      <c r="C377" s="4">
        <v>0</v>
      </c>
      <c r="D377" s="4">
        <v>1</v>
      </c>
      <c r="E377" s="4">
        <v>226</v>
      </c>
      <c r="F377" s="4">
        <f>ROUND(Source!AW371,O377)</f>
        <v>431759</v>
      </c>
      <c r="G377" s="4" t="s">
        <v>97</v>
      </c>
      <c r="H377" s="4" t="s">
        <v>98</v>
      </c>
      <c r="I377" s="4"/>
      <c r="J377" s="4"/>
      <c r="K377" s="4">
        <v>226</v>
      </c>
      <c r="L377" s="4">
        <v>5</v>
      </c>
      <c r="M377" s="4">
        <v>3</v>
      </c>
      <c r="N377" s="4" t="s">
        <v>3</v>
      </c>
      <c r="O377" s="4">
        <v>0</v>
      </c>
      <c r="P377" s="4"/>
      <c r="Q377" s="4"/>
      <c r="R377" s="4"/>
      <c r="S377" s="4"/>
      <c r="T377" s="4"/>
      <c r="U377" s="4"/>
      <c r="V377" s="4"/>
      <c r="W377" s="4"/>
    </row>
    <row r="378" spans="1:206" x14ac:dyDescent="0.2">
      <c r="A378" s="4">
        <v>50</v>
      </c>
      <c r="B378" s="4">
        <v>0</v>
      </c>
      <c r="C378" s="4">
        <v>0</v>
      </c>
      <c r="D378" s="4">
        <v>1</v>
      </c>
      <c r="E378" s="4">
        <v>227</v>
      </c>
      <c r="F378" s="4">
        <f>ROUND(Source!AX371,O378)</f>
        <v>0</v>
      </c>
      <c r="G378" s="4" t="s">
        <v>99</v>
      </c>
      <c r="H378" s="4" t="s">
        <v>100</v>
      </c>
      <c r="I378" s="4"/>
      <c r="J378" s="4"/>
      <c r="K378" s="4">
        <v>227</v>
      </c>
      <c r="L378" s="4">
        <v>6</v>
      </c>
      <c r="M378" s="4">
        <v>3</v>
      </c>
      <c r="N378" s="4" t="s">
        <v>3</v>
      </c>
      <c r="O378" s="4">
        <v>0</v>
      </c>
      <c r="P378" s="4"/>
      <c r="Q378" s="4"/>
      <c r="R378" s="4"/>
      <c r="S378" s="4"/>
      <c r="T378" s="4"/>
      <c r="U378" s="4"/>
      <c r="V378" s="4"/>
      <c r="W378" s="4"/>
    </row>
    <row r="379" spans="1:206" x14ac:dyDescent="0.2">
      <c r="A379" s="4">
        <v>50</v>
      </c>
      <c r="B379" s="4">
        <v>0</v>
      </c>
      <c r="C379" s="4">
        <v>0</v>
      </c>
      <c r="D379" s="4">
        <v>1</v>
      </c>
      <c r="E379" s="4">
        <v>228</v>
      </c>
      <c r="F379" s="4">
        <f>ROUND(Source!AY371,O379)</f>
        <v>431759</v>
      </c>
      <c r="G379" s="4" t="s">
        <v>101</v>
      </c>
      <c r="H379" s="4" t="s">
        <v>102</v>
      </c>
      <c r="I379" s="4"/>
      <c r="J379" s="4"/>
      <c r="K379" s="4">
        <v>228</v>
      </c>
      <c r="L379" s="4">
        <v>7</v>
      </c>
      <c r="M379" s="4">
        <v>3</v>
      </c>
      <c r="N379" s="4" t="s">
        <v>3</v>
      </c>
      <c r="O379" s="4">
        <v>0</v>
      </c>
      <c r="P379" s="4"/>
      <c r="Q379" s="4"/>
      <c r="R379" s="4"/>
      <c r="S379" s="4"/>
      <c r="T379" s="4"/>
      <c r="U379" s="4"/>
      <c r="V379" s="4"/>
      <c r="W379" s="4"/>
    </row>
    <row r="380" spans="1:206" x14ac:dyDescent="0.2">
      <c r="A380" s="4">
        <v>50</v>
      </c>
      <c r="B380" s="4">
        <v>0</v>
      </c>
      <c r="C380" s="4">
        <v>0</v>
      </c>
      <c r="D380" s="4">
        <v>1</v>
      </c>
      <c r="E380" s="4">
        <v>216</v>
      </c>
      <c r="F380" s="4">
        <f>ROUND(Source!AP371,O380)</f>
        <v>0</v>
      </c>
      <c r="G380" s="4" t="s">
        <v>103</v>
      </c>
      <c r="H380" s="4" t="s">
        <v>104</v>
      </c>
      <c r="I380" s="4"/>
      <c r="J380" s="4"/>
      <c r="K380" s="4">
        <v>216</v>
      </c>
      <c r="L380" s="4">
        <v>8</v>
      </c>
      <c r="M380" s="4">
        <v>3</v>
      </c>
      <c r="N380" s="4" t="s">
        <v>3</v>
      </c>
      <c r="O380" s="4">
        <v>0</v>
      </c>
      <c r="P380" s="4"/>
      <c r="Q380" s="4"/>
      <c r="R380" s="4"/>
      <c r="S380" s="4"/>
      <c r="T380" s="4"/>
      <c r="U380" s="4"/>
      <c r="V380" s="4"/>
      <c r="W380" s="4"/>
    </row>
    <row r="381" spans="1:206" x14ac:dyDescent="0.2">
      <c r="A381" s="4">
        <v>50</v>
      </c>
      <c r="B381" s="4">
        <v>0</v>
      </c>
      <c r="C381" s="4">
        <v>0</v>
      </c>
      <c r="D381" s="4">
        <v>1</v>
      </c>
      <c r="E381" s="4">
        <v>223</v>
      </c>
      <c r="F381" s="4">
        <f>ROUND(Source!AQ371,O381)</f>
        <v>0</v>
      </c>
      <c r="G381" s="4" t="s">
        <v>105</v>
      </c>
      <c r="H381" s="4" t="s">
        <v>106</v>
      </c>
      <c r="I381" s="4"/>
      <c r="J381" s="4"/>
      <c r="K381" s="4">
        <v>223</v>
      </c>
      <c r="L381" s="4">
        <v>9</v>
      </c>
      <c r="M381" s="4">
        <v>3</v>
      </c>
      <c r="N381" s="4" t="s">
        <v>3</v>
      </c>
      <c r="O381" s="4">
        <v>0</v>
      </c>
      <c r="P381" s="4"/>
      <c r="Q381" s="4"/>
      <c r="R381" s="4"/>
      <c r="S381" s="4"/>
      <c r="T381" s="4"/>
      <c r="U381" s="4"/>
      <c r="V381" s="4"/>
      <c r="W381" s="4"/>
    </row>
    <row r="382" spans="1:206" x14ac:dyDescent="0.2">
      <c r="A382" s="4">
        <v>50</v>
      </c>
      <c r="B382" s="4">
        <v>0</v>
      </c>
      <c r="C382" s="4">
        <v>0</v>
      </c>
      <c r="D382" s="4">
        <v>1</v>
      </c>
      <c r="E382" s="4">
        <v>229</v>
      </c>
      <c r="F382" s="4">
        <f>ROUND(Source!AZ371,O382)</f>
        <v>0</v>
      </c>
      <c r="G382" s="4" t="s">
        <v>107</v>
      </c>
      <c r="H382" s="4" t="s">
        <v>108</v>
      </c>
      <c r="I382" s="4"/>
      <c r="J382" s="4"/>
      <c r="K382" s="4">
        <v>229</v>
      </c>
      <c r="L382" s="4">
        <v>10</v>
      </c>
      <c r="M382" s="4">
        <v>3</v>
      </c>
      <c r="N382" s="4" t="s">
        <v>3</v>
      </c>
      <c r="O382" s="4">
        <v>0</v>
      </c>
      <c r="P382" s="4"/>
      <c r="Q382" s="4"/>
      <c r="R382" s="4"/>
      <c r="S382" s="4"/>
      <c r="T382" s="4"/>
      <c r="U382" s="4"/>
      <c r="V382" s="4"/>
      <c r="W382" s="4"/>
    </row>
    <row r="383" spans="1:206" x14ac:dyDescent="0.2">
      <c r="A383" s="4">
        <v>50</v>
      </c>
      <c r="B383" s="4">
        <v>0</v>
      </c>
      <c r="C383" s="4">
        <v>0</v>
      </c>
      <c r="D383" s="4">
        <v>1</v>
      </c>
      <c r="E383" s="4">
        <v>203</v>
      </c>
      <c r="F383" s="4">
        <f>ROUND(Source!Q371,O383)</f>
        <v>61502</v>
      </c>
      <c r="G383" s="4" t="s">
        <v>109</v>
      </c>
      <c r="H383" s="4" t="s">
        <v>110</v>
      </c>
      <c r="I383" s="4"/>
      <c r="J383" s="4"/>
      <c r="K383" s="4">
        <v>203</v>
      </c>
      <c r="L383" s="4">
        <v>11</v>
      </c>
      <c r="M383" s="4">
        <v>3</v>
      </c>
      <c r="N383" s="4" t="s">
        <v>3</v>
      </c>
      <c r="O383" s="4">
        <v>0</v>
      </c>
      <c r="P383" s="4"/>
      <c r="Q383" s="4"/>
      <c r="R383" s="4"/>
      <c r="S383" s="4"/>
      <c r="T383" s="4"/>
      <c r="U383" s="4"/>
      <c r="V383" s="4"/>
      <c r="W383" s="4"/>
    </row>
    <row r="384" spans="1:206" x14ac:dyDescent="0.2">
      <c r="A384" s="4">
        <v>50</v>
      </c>
      <c r="B384" s="4">
        <v>0</v>
      </c>
      <c r="C384" s="4">
        <v>0</v>
      </c>
      <c r="D384" s="4">
        <v>1</v>
      </c>
      <c r="E384" s="4">
        <v>231</v>
      </c>
      <c r="F384" s="4">
        <f>ROUND(Source!BB371,O384)</f>
        <v>0</v>
      </c>
      <c r="G384" s="4" t="s">
        <v>111</v>
      </c>
      <c r="H384" s="4" t="s">
        <v>112</v>
      </c>
      <c r="I384" s="4"/>
      <c r="J384" s="4"/>
      <c r="K384" s="4">
        <v>231</v>
      </c>
      <c r="L384" s="4">
        <v>12</v>
      </c>
      <c r="M384" s="4">
        <v>3</v>
      </c>
      <c r="N384" s="4" t="s">
        <v>3</v>
      </c>
      <c r="O384" s="4">
        <v>0</v>
      </c>
      <c r="P384" s="4"/>
      <c r="Q384" s="4"/>
      <c r="R384" s="4"/>
      <c r="S384" s="4"/>
      <c r="T384" s="4"/>
      <c r="U384" s="4"/>
      <c r="V384" s="4"/>
      <c r="W384" s="4"/>
    </row>
    <row r="385" spans="1:23" x14ac:dyDescent="0.2">
      <c r="A385" s="4">
        <v>50</v>
      </c>
      <c r="B385" s="4">
        <v>0</v>
      </c>
      <c r="C385" s="4">
        <v>0</v>
      </c>
      <c r="D385" s="4">
        <v>1</v>
      </c>
      <c r="E385" s="4">
        <v>204</v>
      </c>
      <c r="F385" s="4">
        <f>ROUND(Source!R371,O385)</f>
        <v>3884</v>
      </c>
      <c r="G385" s="4" t="s">
        <v>113</v>
      </c>
      <c r="H385" s="4" t="s">
        <v>114</v>
      </c>
      <c r="I385" s="4"/>
      <c r="J385" s="4"/>
      <c r="K385" s="4">
        <v>204</v>
      </c>
      <c r="L385" s="4">
        <v>13</v>
      </c>
      <c r="M385" s="4">
        <v>3</v>
      </c>
      <c r="N385" s="4" t="s">
        <v>3</v>
      </c>
      <c r="O385" s="4">
        <v>0</v>
      </c>
      <c r="P385" s="4"/>
      <c r="Q385" s="4"/>
      <c r="R385" s="4"/>
      <c r="S385" s="4"/>
      <c r="T385" s="4"/>
      <c r="U385" s="4"/>
      <c r="V385" s="4"/>
      <c r="W385" s="4"/>
    </row>
    <row r="386" spans="1:23" x14ac:dyDescent="0.2">
      <c r="A386" s="4">
        <v>50</v>
      </c>
      <c r="B386" s="4">
        <v>0</v>
      </c>
      <c r="C386" s="4">
        <v>0</v>
      </c>
      <c r="D386" s="4">
        <v>1</v>
      </c>
      <c r="E386" s="4">
        <v>205</v>
      </c>
      <c r="F386" s="4">
        <f>ROUND(Source!S371,O386)</f>
        <v>12126</v>
      </c>
      <c r="G386" s="4" t="s">
        <v>115</v>
      </c>
      <c r="H386" s="4" t="s">
        <v>116</v>
      </c>
      <c r="I386" s="4"/>
      <c r="J386" s="4"/>
      <c r="K386" s="4">
        <v>205</v>
      </c>
      <c r="L386" s="4">
        <v>14</v>
      </c>
      <c r="M386" s="4">
        <v>3</v>
      </c>
      <c r="N386" s="4" t="s">
        <v>3</v>
      </c>
      <c r="O386" s="4">
        <v>0</v>
      </c>
      <c r="P386" s="4"/>
      <c r="Q386" s="4"/>
      <c r="R386" s="4"/>
      <c r="S386" s="4"/>
      <c r="T386" s="4"/>
      <c r="U386" s="4"/>
      <c r="V386" s="4"/>
      <c r="W386" s="4"/>
    </row>
    <row r="387" spans="1:23" x14ac:dyDescent="0.2">
      <c r="A387" s="4">
        <v>50</v>
      </c>
      <c r="B387" s="4">
        <v>0</v>
      </c>
      <c r="C387" s="4">
        <v>0</v>
      </c>
      <c r="D387" s="4">
        <v>1</v>
      </c>
      <c r="E387" s="4">
        <v>232</v>
      </c>
      <c r="F387" s="4">
        <f>ROUND(Source!BC371,O387)</f>
        <v>0</v>
      </c>
      <c r="G387" s="4" t="s">
        <v>117</v>
      </c>
      <c r="H387" s="4" t="s">
        <v>118</v>
      </c>
      <c r="I387" s="4"/>
      <c r="J387" s="4"/>
      <c r="K387" s="4">
        <v>232</v>
      </c>
      <c r="L387" s="4">
        <v>15</v>
      </c>
      <c r="M387" s="4">
        <v>3</v>
      </c>
      <c r="N387" s="4" t="s">
        <v>3</v>
      </c>
      <c r="O387" s="4">
        <v>0</v>
      </c>
      <c r="P387" s="4"/>
      <c r="Q387" s="4"/>
      <c r="R387" s="4"/>
      <c r="S387" s="4"/>
      <c r="T387" s="4"/>
      <c r="U387" s="4"/>
      <c r="V387" s="4"/>
      <c r="W387" s="4"/>
    </row>
    <row r="388" spans="1:23" x14ac:dyDescent="0.2">
      <c r="A388" s="4">
        <v>50</v>
      </c>
      <c r="B388" s="4">
        <v>0</v>
      </c>
      <c r="C388" s="4">
        <v>0</v>
      </c>
      <c r="D388" s="4">
        <v>1</v>
      </c>
      <c r="E388" s="4">
        <v>214</v>
      </c>
      <c r="F388" s="4">
        <f>ROUND(Source!AS371,O388)</f>
        <v>538135</v>
      </c>
      <c r="G388" s="4" t="s">
        <v>119</v>
      </c>
      <c r="H388" s="4" t="s">
        <v>120</v>
      </c>
      <c r="I388" s="4"/>
      <c r="J388" s="4"/>
      <c r="K388" s="4">
        <v>214</v>
      </c>
      <c r="L388" s="4">
        <v>16</v>
      </c>
      <c r="M388" s="4">
        <v>3</v>
      </c>
      <c r="N388" s="4" t="s">
        <v>3</v>
      </c>
      <c r="O388" s="4">
        <v>0</v>
      </c>
      <c r="P388" s="4"/>
      <c r="Q388" s="4"/>
      <c r="R388" s="4"/>
      <c r="S388" s="4"/>
      <c r="T388" s="4"/>
      <c r="U388" s="4"/>
      <c r="V388" s="4"/>
      <c r="W388" s="4"/>
    </row>
    <row r="389" spans="1:23" x14ac:dyDescent="0.2">
      <c r="A389" s="4">
        <v>50</v>
      </c>
      <c r="B389" s="4">
        <v>0</v>
      </c>
      <c r="C389" s="4">
        <v>0</v>
      </c>
      <c r="D389" s="4">
        <v>1</v>
      </c>
      <c r="E389" s="4">
        <v>215</v>
      </c>
      <c r="F389" s="4">
        <f>ROUND(Source!AT371,O389)</f>
        <v>0</v>
      </c>
      <c r="G389" s="4" t="s">
        <v>121</v>
      </c>
      <c r="H389" s="4" t="s">
        <v>122</v>
      </c>
      <c r="I389" s="4"/>
      <c r="J389" s="4"/>
      <c r="K389" s="4">
        <v>215</v>
      </c>
      <c r="L389" s="4">
        <v>17</v>
      </c>
      <c r="M389" s="4">
        <v>3</v>
      </c>
      <c r="N389" s="4" t="s">
        <v>3</v>
      </c>
      <c r="O389" s="4">
        <v>0</v>
      </c>
      <c r="P389" s="4"/>
      <c r="Q389" s="4"/>
      <c r="R389" s="4"/>
      <c r="S389" s="4"/>
      <c r="T389" s="4"/>
      <c r="U389" s="4"/>
      <c r="V389" s="4"/>
      <c r="W389" s="4"/>
    </row>
    <row r="390" spans="1:23" x14ac:dyDescent="0.2">
      <c r="A390" s="4">
        <v>50</v>
      </c>
      <c r="B390" s="4">
        <v>0</v>
      </c>
      <c r="C390" s="4">
        <v>0</v>
      </c>
      <c r="D390" s="4">
        <v>1</v>
      </c>
      <c r="E390" s="4">
        <v>217</v>
      </c>
      <c r="F390" s="4">
        <f>ROUND(Source!AU371,O390)</f>
        <v>0</v>
      </c>
      <c r="G390" s="4" t="s">
        <v>123</v>
      </c>
      <c r="H390" s="4" t="s">
        <v>124</v>
      </c>
      <c r="I390" s="4"/>
      <c r="J390" s="4"/>
      <c r="K390" s="4">
        <v>217</v>
      </c>
      <c r="L390" s="4">
        <v>18</v>
      </c>
      <c r="M390" s="4">
        <v>3</v>
      </c>
      <c r="N390" s="4" t="s">
        <v>3</v>
      </c>
      <c r="O390" s="4">
        <v>0</v>
      </c>
      <c r="P390" s="4"/>
      <c r="Q390" s="4"/>
      <c r="R390" s="4"/>
      <c r="S390" s="4"/>
      <c r="T390" s="4"/>
      <c r="U390" s="4"/>
      <c r="V390" s="4"/>
      <c r="W390" s="4"/>
    </row>
    <row r="391" spans="1:23" x14ac:dyDescent="0.2">
      <c r="A391" s="4">
        <v>50</v>
      </c>
      <c r="B391" s="4">
        <v>0</v>
      </c>
      <c r="C391" s="4">
        <v>0</v>
      </c>
      <c r="D391" s="4">
        <v>1</v>
      </c>
      <c r="E391" s="4">
        <v>230</v>
      </c>
      <c r="F391" s="4">
        <f>ROUND(Source!BA371,O391)</f>
        <v>0</v>
      </c>
      <c r="G391" s="4" t="s">
        <v>125</v>
      </c>
      <c r="H391" s="4" t="s">
        <v>126</v>
      </c>
      <c r="I391" s="4"/>
      <c r="J391" s="4"/>
      <c r="K391" s="4">
        <v>230</v>
      </c>
      <c r="L391" s="4">
        <v>19</v>
      </c>
      <c r="M391" s="4">
        <v>3</v>
      </c>
      <c r="N391" s="4" t="s">
        <v>3</v>
      </c>
      <c r="O391" s="4">
        <v>0</v>
      </c>
      <c r="P391" s="4"/>
      <c r="Q391" s="4"/>
      <c r="R391" s="4"/>
      <c r="S391" s="4"/>
      <c r="T391" s="4"/>
      <c r="U391" s="4"/>
      <c r="V391" s="4"/>
      <c r="W391" s="4"/>
    </row>
    <row r="392" spans="1:23" x14ac:dyDescent="0.2">
      <c r="A392" s="4">
        <v>50</v>
      </c>
      <c r="B392" s="4">
        <v>0</v>
      </c>
      <c r="C392" s="4">
        <v>0</v>
      </c>
      <c r="D392" s="4">
        <v>1</v>
      </c>
      <c r="E392" s="4">
        <v>206</v>
      </c>
      <c r="F392" s="4">
        <f>ROUND(Source!T371,O392)</f>
        <v>0</v>
      </c>
      <c r="G392" s="4" t="s">
        <v>127</v>
      </c>
      <c r="H392" s="4" t="s">
        <v>128</v>
      </c>
      <c r="I392" s="4"/>
      <c r="J392" s="4"/>
      <c r="K392" s="4">
        <v>206</v>
      </c>
      <c r="L392" s="4">
        <v>20</v>
      </c>
      <c r="M392" s="4">
        <v>3</v>
      </c>
      <c r="N392" s="4" t="s">
        <v>3</v>
      </c>
      <c r="O392" s="4">
        <v>0</v>
      </c>
      <c r="P392" s="4"/>
      <c r="Q392" s="4"/>
      <c r="R392" s="4"/>
      <c r="S392" s="4"/>
      <c r="T392" s="4"/>
      <c r="U392" s="4"/>
      <c r="V392" s="4"/>
      <c r="W392" s="4"/>
    </row>
    <row r="393" spans="1:23" x14ac:dyDescent="0.2">
      <c r="A393" s="4">
        <v>50</v>
      </c>
      <c r="B393" s="4">
        <v>0</v>
      </c>
      <c r="C393" s="4">
        <v>0</v>
      </c>
      <c r="D393" s="4">
        <v>1</v>
      </c>
      <c r="E393" s="4">
        <v>207</v>
      </c>
      <c r="F393" s="4">
        <f>Source!U371</f>
        <v>1743.8319370999998</v>
      </c>
      <c r="G393" s="4" t="s">
        <v>129</v>
      </c>
      <c r="H393" s="4" t="s">
        <v>130</v>
      </c>
      <c r="I393" s="4"/>
      <c r="J393" s="4"/>
      <c r="K393" s="4">
        <v>207</v>
      </c>
      <c r="L393" s="4">
        <v>21</v>
      </c>
      <c r="M393" s="4">
        <v>3</v>
      </c>
      <c r="N393" s="4" t="s">
        <v>3</v>
      </c>
      <c r="O393" s="4">
        <v>-1</v>
      </c>
      <c r="P393" s="4"/>
      <c r="Q393" s="4"/>
      <c r="R393" s="4"/>
      <c r="S393" s="4"/>
      <c r="T393" s="4"/>
      <c r="U393" s="4"/>
      <c r="V393" s="4"/>
      <c r="W393" s="4"/>
    </row>
    <row r="394" spans="1:23" x14ac:dyDescent="0.2">
      <c r="A394" s="4">
        <v>50</v>
      </c>
      <c r="B394" s="4">
        <v>0</v>
      </c>
      <c r="C394" s="4">
        <v>0</v>
      </c>
      <c r="D394" s="4">
        <v>1</v>
      </c>
      <c r="E394" s="4">
        <v>208</v>
      </c>
      <c r="F394" s="4">
        <f>Source!V371</f>
        <v>303.27306824999999</v>
      </c>
      <c r="G394" s="4" t="s">
        <v>131</v>
      </c>
      <c r="H394" s="4" t="s">
        <v>132</v>
      </c>
      <c r="I394" s="4"/>
      <c r="J394" s="4"/>
      <c r="K394" s="4">
        <v>208</v>
      </c>
      <c r="L394" s="4">
        <v>22</v>
      </c>
      <c r="M394" s="4">
        <v>3</v>
      </c>
      <c r="N394" s="4" t="s">
        <v>3</v>
      </c>
      <c r="O394" s="4">
        <v>-1</v>
      </c>
      <c r="P394" s="4"/>
      <c r="Q394" s="4"/>
      <c r="R394" s="4"/>
      <c r="S394" s="4"/>
      <c r="T394" s="4"/>
      <c r="U394" s="4"/>
      <c r="V394" s="4"/>
      <c r="W394" s="4"/>
    </row>
    <row r="395" spans="1:23" x14ac:dyDescent="0.2">
      <c r="A395" s="4">
        <v>50</v>
      </c>
      <c r="B395" s="4">
        <v>0</v>
      </c>
      <c r="C395" s="4">
        <v>0</v>
      </c>
      <c r="D395" s="4">
        <v>1</v>
      </c>
      <c r="E395" s="4">
        <v>209</v>
      </c>
      <c r="F395" s="4">
        <f>ROUND(Source!W371,O395)</f>
        <v>0</v>
      </c>
      <c r="G395" s="4" t="s">
        <v>133</v>
      </c>
      <c r="H395" s="4" t="s">
        <v>134</v>
      </c>
      <c r="I395" s="4"/>
      <c r="J395" s="4"/>
      <c r="K395" s="4">
        <v>209</v>
      </c>
      <c r="L395" s="4">
        <v>23</v>
      </c>
      <c r="M395" s="4">
        <v>3</v>
      </c>
      <c r="N395" s="4" t="s">
        <v>3</v>
      </c>
      <c r="O395" s="4">
        <v>0</v>
      </c>
      <c r="P395" s="4"/>
      <c r="Q395" s="4"/>
      <c r="R395" s="4"/>
      <c r="S395" s="4"/>
      <c r="T395" s="4"/>
      <c r="U395" s="4"/>
      <c r="V395" s="4"/>
      <c r="W395" s="4"/>
    </row>
    <row r="396" spans="1:23" x14ac:dyDescent="0.2">
      <c r="A396" s="4">
        <v>50</v>
      </c>
      <c r="B396" s="4">
        <v>0</v>
      </c>
      <c r="C396" s="4">
        <v>0</v>
      </c>
      <c r="D396" s="4">
        <v>1</v>
      </c>
      <c r="E396" s="4">
        <v>233</v>
      </c>
      <c r="F396" s="4">
        <f>ROUND(Source!BD371,O396)</f>
        <v>6675</v>
      </c>
      <c r="G396" s="4" t="s">
        <v>135</v>
      </c>
      <c r="H396" s="4" t="s">
        <v>136</v>
      </c>
      <c r="I396" s="4"/>
      <c r="J396" s="4"/>
      <c r="K396" s="4">
        <v>233</v>
      </c>
      <c r="L396" s="4">
        <v>24</v>
      </c>
      <c r="M396" s="4">
        <v>3</v>
      </c>
      <c r="N396" s="4" t="s">
        <v>3</v>
      </c>
      <c r="O396" s="4">
        <v>0</v>
      </c>
      <c r="P396" s="4"/>
      <c r="Q396" s="4"/>
      <c r="R396" s="4"/>
      <c r="S396" s="4"/>
      <c r="T396" s="4"/>
      <c r="U396" s="4"/>
      <c r="V396" s="4"/>
      <c r="W396" s="4"/>
    </row>
    <row r="397" spans="1:23" x14ac:dyDescent="0.2">
      <c r="A397" s="4">
        <v>50</v>
      </c>
      <c r="B397" s="4">
        <v>0</v>
      </c>
      <c r="C397" s="4">
        <v>0</v>
      </c>
      <c r="D397" s="4">
        <v>1</v>
      </c>
      <c r="E397" s="4">
        <v>0</v>
      </c>
      <c r="F397" s="4">
        <f>ROUND(Source!X371,O397)</f>
        <v>20904</v>
      </c>
      <c r="G397" s="4" t="s">
        <v>137</v>
      </c>
      <c r="H397" s="4" t="s">
        <v>138</v>
      </c>
      <c r="I397" s="4"/>
      <c r="J397" s="4"/>
      <c r="K397" s="4">
        <v>210</v>
      </c>
      <c r="L397" s="4">
        <v>25</v>
      </c>
      <c r="M397" s="4">
        <v>3</v>
      </c>
      <c r="N397" s="4" t="s">
        <v>3</v>
      </c>
      <c r="O397" s="4">
        <v>0</v>
      </c>
      <c r="P397" s="4"/>
      <c r="Q397" s="4"/>
      <c r="R397" s="4"/>
      <c r="S397" s="4"/>
      <c r="T397" s="4"/>
      <c r="U397" s="4"/>
      <c r="V397" s="4"/>
      <c r="W397" s="4"/>
    </row>
    <row r="398" spans="1:23" x14ac:dyDescent="0.2">
      <c r="A398" s="4">
        <v>50</v>
      </c>
      <c r="B398" s="4">
        <v>0</v>
      </c>
      <c r="C398" s="4">
        <v>0</v>
      </c>
      <c r="D398" s="4">
        <v>1</v>
      </c>
      <c r="E398" s="4">
        <v>0</v>
      </c>
      <c r="F398" s="4">
        <f>ROUND(Source!Y371,O398)</f>
        <v>11844</v>
      </c>
      <c r="G398" s="4" t="s">
        <v>139</v>
      </c>
      <c r="H398" s="4" t="s">
        <v>140</v>
      </c>
      <c r="I398" s="4"/>
      <c r="J398" s="4"/>
      <c r="K398" s="4">
        <v>211</v>
      </c>
      <c r="L398" s="4">
        <v>26</v>
      </c>
      <c r="M398" s="4">
        <v>3</v>
      </c>
      <c r="N398" s="4" t="s">
        <v>3</v>
      </c>
      <c r="O398" s="4">
        <v>0</v>
      </c>
      <c r="P398" s="4"/>
      <c r="Q398" s="4"/>
      <c r="R398" s="4"/>
      <c r="S398" s="4"/>
      <c r="T398" s="4"/>
      <c r="U398" s="4"/>
      <c r="V398" s="4"/>
      <c r="W398" s="4"/>
    </row>
    <row r="399" spans="1:23" x14ac:dyDescent="0.2">
      <c r="A399" s="4">
        <v>50</v>
      </c>
      <c r="B399" s="4">
        <v>0</v>
      </c>
      <c r="C399" s="4">
        <v>0</v>
      </c>
      <c r="D399" s="4">
        <v>1</v>
      </c>
      <c r="E399" s="4">
        <v>224</v>
      </c>
      <c r="F399" s="4">
        <f>ROUND(Source!AR371,O399)</f>
        <v>538135</v>
      </c>
      <c r="G399" s="4" t="s">
        <v>141</v>
      </c>
      <c r="H399" s="4" t="s">
        <v>142</v>
      </c>
      <c r="I399" s="4"/>
      <c r="J399" s="4"/>
      <c r="K399" s="4">
        <v>224</v>
      </c>
      <c r="L399" s="4">
        <v>27</v>
      </c>
      <c r="M399" s="4">
        <v>3</v>
      </c>
      <c r="N399" s="4" t="s">
        <v>3</v>
      </c>
      <c r="O399" s="4">
        <v>0</v>
      </c>
      <c r="P399" s="4"/>
      <c r="Q399" s="4"/>
      <c r="R399" s="4"/>
      <c r="S399" s="4"/>
      <c r="T399" s="4"/>
      <c r="U399" s="4"/>
      <c r="V399" s="4"/>
      <c r="W399" s="4"/>
    </row>
    <row r="400" spans="1:23" x14ac:dyDescent="0.2">
      <c r="A400" s="4">
        <v>50</v>
      </c>
      <c r="B400" s="4">
        <v>1</v>
      </c>
      <c r="C400" s="4">
        <v>0</v>
      </c>
      <c r="D400" s="4">
        <v>2</v>
      </c>
      <c r="E400" s="4">
        <v>201</v>
      </c>
      <c r="F400" s="4">
        <f>ROUND(F373,O400)</f>
        <v>505387</v>
      </c>
      <c r="G400" s="4" t="s">
        <v>307</v>
      </c>
      <c r="H400" s="4" t="s">
        <v>308</v>
      </c>
      <c r="I400" s="4"/>
      <c r="J400" s="4"/>
      <c r="K400" s="4">
        <v>212</v>
      </c>
      <c r="L400" s="4">
        <v>28</v>
      </c>
      <c r="M400" s="4">
        <v>0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/>
    </row>
    <row r="401" spans="1:245" x14ac:dyDescent="0.2">
      <c r="A401" s="4">
        <v>50</v>
      </c>
      <c r="B401" s="4">
        <v>1</v>
      </c>
      <c r="C401" s="4">
        <v>0</v>
      </c>
      <c r="D401" s="4">
        <v>2</v>
      </c>
      <c r="E401" s="4">
        <v>210</v>
      </c>
      <c r="F401" s="4">
        <f>ROUND(F397,O401)</f>
        <v>20904</v>
      </c>
      <c r="G401" s="4" t="s">
        <v>309</v>
      </c>
      <c r="H401" s="4" t="s">
        <v>138</v>
      </c>
      <c r="I401" s="4"/>
      <c r="J401" s="4"/>
      <c r="K401" s="4">
        <v>212</v>
      </c>
      <c r="L401" s="4">
        <v>29</v>
      </c>
      <c r="M401" s="4">
        <v>0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/>
    </row>
    <row r="402" spans="1:245" x14ac:dyDescent="0.2">
      <c r="A402" s="4">
        <v>50</v>
      </c>
      <c r="B402" s="4">
        <v>1</v>
      </c>
      <c r="C402" s="4">
        <v>0</v>
      </c>
      <c r="D402" s="4">
        <v>2</v>
      </c>
      <c r="E402" s="4">
        <v>211</v>
      </c>
      <c r="F402" s="4">
        <f>ROUND(F398,O402)</f>
        <v>11844</v>
      </c>
      <c r="G402" s="4" t="s">
        <v>310</v>
      </c>
      <c r="H402" s="4" t="s">
        <v>140</v>
      </c>
      <c r="I402" s="4"/>
      <c r="J402" s="4"/>
      <c r="K402" s="4">
        <v>212</v>
      </c>
      <c r="L402" s="4">
        <v>30</v>
      </c>
      <c r="M402" s="4">
        <v>0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/>
    </row>
    <row r="403" spans="1:245" x14ac:dyDescent="0.2">
      <c r="A403" s="4">
        <v>50</v>
      </c>
      <c r="B403" s="4">
        <v>1</v>
      </c>
      <c r="C403" s="4">
        <v>0</v>
      </c>
      <c r="D403" s="4">
        <v>2</v>
      </c>
      <c r="E403" s="4">
        <v>0</v>
      </c>
      <c r="F403" s="4">
        <f>ROUND(F400+F401+F402,O403)</f>
        <v>538135</v>
      </c>
      <c r="G403" s="4" t="s">
        <v>311</v>
      </c>
      <c r="H403" s="4" t="s">
        <v>312</v>
      </c>
      <c r="I403" s="4"/>
      <c r="J403" s="4"/>
      <c r="K403" s="4">
        <v>212</v>
      </c>
      <c r="L403" s="4">
        <v>31</v>
      </c>
      <c r="M403" s="4">
        <v>0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/>
    </row>
    <row r="404" spans="1:245" x14ac:dyDescent="0.2">
      <c r="A404" s="4">
        <v>50</v>
      </c>
      <c r="B404" s="4">
        <v>1</v>
      </c>
      <c r="C404" s="4">
        <v>0</v>
      </c>
      <c r="D404" s="4">
        <v>2</v>
      </c>
      <c r="E404" s="4">
        <v>0</v>
      </c>
      <c r="F404" s="4">
        <f>ROUND(F403*7.51,O404)</f>
        <v>4041393.85</v>
      </c>
      <c r="G404" s="4" t="s">
        <v>313</v>
      </c>
      <c r="H404" s="4" t="s">
        <v>314</v>
      </c>
      <c r="I404" s="4"/>
      <c r="J404" s="4"/>
      <c r="K404" s="4">
        <v>212</v>
      </c>
      <c r="L404" s="4">
        <v>32</v>
      </c>
      <c r="M404" s="4">
        <v>0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/>
    </row>
    <row r="405" spans="1:245" x14ac:dyDescent="0.2">
      <c r="A405" s="4">
        <v>50</v>
      </c>
      <c r="B405" s="4">
        <v>1</v>
      </c>
      <c r="C405" s="4">
        <v>0</v>
      </c>
      <c r="D405" s="4">
        <v>2</v>
      </c>
      <c r="E405" s="4">
        <v>0</v>
      </c>
      <c r="F405" s="4">
        <f>ROUND(F404*0.2,O405)</f>
        <v>808278.77</v>
      </c>
      <c r="G405" s="4" t="s">
        <v>315</v>
      </c>
      <c r="H405" s="4" t="s">
        <v>316</v>
      </c>
      <c r="I405" s="4"/>
      <c r="J405" s="4"/>
      <c r="K405" s="4">
        <v>212</v>
      </c>
      <c r="L405" s="4">
        <v>33</v>
      </c>
      <c r="M405" s="4">
        <v>0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/>
    </row>
    <row r="406" spans="1:245" x14ac:dyDescent="0.2">
      <c r="A406" s="4">
        <v>50</v>
      </c>
      <c r="B406" s="4">
        <v>1</v>
      </c>
      <c r="C406" s="4">
        <v>0</v>
      </c>
      <c r="D406" s="4">
        <v>2</v>
      </c>
      <c r="E406" s="4">
        <v>0</v>
      </c>
      <c r="F406" s="4">
        <f>ROUND(F404+F405,O406)</f>
        <v>4849672.62</v>
      </c>
      <c r="G406" s="4" t="s">
        <v>317</v>
      </c>
      <c r="H406" s="4" t="s">
        <v>318</v>
      </c>
      <c r="I406" s="4"/>
      <c r="J406" s="4"/>
      <c r="K406" s="4">
        <v>212</v>
      </c>
      <c r="L406" s="4">
        <v>34</v>
      </c>
      <c r="M406" s="4">
        <v>0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/>
    </row>
    <row r="408" spans="1:245" x14ac:dyDescent="0.2">
      <c r="A408" s="1">
        <v>4</v>
      </c>
      <c r="B408" s="1">
        <v>1</v>
      </c>
      <c r="C408" s="1"/>
      <c r="D408" s="1">
        <f>ROW(A427)</f>
        <v>427</v>
      </c>
      <c r="E408" s="1"/>
      <c r="F408" s="1" t="s">
        <v>13</v>
      </c>
      <c r="G408" s="1" t="s">
        <v>319</v>
      </c>
      <c r="H408" s="1" t="s">
        <v>3</v>
      </c>
      <c r="I408" s="1">
        <v>0</v>
      </c>
      <c r="J408" s="1"/>
      <c r="K408" s="1">
        <v>-1</v>
      </c>
      <c r="L408" s="1"/>
      <c r="M408" s="1"/>
      <c r="N408" s="1"/>
      <c r="O408" s="1"/>
      <c r="P408" s="1"/>
      <c r="Q408" s="1"/>
      <c r="R408" s="1"/>
      <c r="S408" s="1"/>
      <c r="T408" s="1"/>
      <c r="U408" s="1" t="s">
        <v>3</v>
      </c>
      <c r="V408" s="1">
        <v>0</v>
      </c>
      <c r="W408" s="1"/>
      <c r="X408" s="1"/>
      <c r="Y408" s="1"/>
      <c r="Z408" s="1"/>
      <c r="AA408" s="1"/>
      <c r="AB408" s="1" t="s">
        <v>3</v>
      </c>
      <c r="AC408" s="1" t="s">
        <v>3</v>
      </c>
      <c r="AD408" s="1" t="s">
        <v>3</v>
      </c>
      <c r="AE408" s="1" t="s">
        <v>3</v>
      </c>
      <c r="AF408" s="1" t="s">
        <v>3</v>
      </c>
      <c r="AG408" s="1" t="s">
        <v>3</v>
      </c>
      <c r="AH408" s="1"/>
      <c r="AI408" s="1"/>
      <c r="AJ408" s="1"/>
      <c r="AK408" s="1"/>
      <c r="AL408" s="1"/>
      <c r="AM408" s="1"/>
      <c r="AN408" s="1"/>
      <c r="AO408" s="1"/>
      <c r="AP408" s="1" t="s">
        <v>3</v>
      </c>
      <c r="AQ408" s="1" t="s">
        <v>3</v>
      </c>
      <c r="AR408" s="1" t="s">
        <v>3</v>
      </c>
      <c r="AS408" s="1"/>
      <c r="AT408" s="1"/>
      <c r="AU408" s="1"/>
      <c r="AV408" s="1"/>
      <c r="AW408" s="1"/>
      <c r="AX408" s="1"/>
      <c r="AY408" s="1"/>
      <c r="AZ408" s="1" t="s">
        <v>3</v>
      </c>
      <c r="BA408" s="1"/>
      <c r="BB408" s="1" t="s">
        <v>3</v>
      </c>
      <c r="BC408" s="1" t="s">
        <v>3</v>
      </c>
      <c r="BD408" s="1" t="s">
        <v>11</v>
      </c>
      <c r="BE408" s="1" t="s">
        <v>11</v>
      </c>
      <c r="BF408" s="1" t="s">
        <v>12</v>
      </c>
      <c r="BG408" s="1" t="s">
        <v>3</v>
      </c>
      <c r="BH408" s="1" t="s">
        <v>12</v>
      </c>
      <c r="BI408" s="1" t="s">
        <v>11</v>
      </c>
      <c r="BJ408" s="1" t="s">
        <v>3</v>
      </c>
      <c r="BK408" s="1" t="s">
        <v>3</v>
      </c>
      <c r="BL408" s="1" t="s">
        <v>3</v>
      </c>
      <c r="BM408" s="1" t="s">
        <v>3</v>
      </c>
      <c r="BN408" s="1" t="s">
        <v>11</v>
      </c>
      <c r="BO408" s="1" t="s">
        <v>3</v>
      </c>
      <c r="BP408" s="1" t="s">
        <v>3</v>
      </c>
      <c r="BQ408" s="1"/>
      <c r="BR408" s="1"/>
      <c r="BS408" s="1"/>
      <c r="BT408" s="1"/>
      <c r="BU408" s="1"/>
      <c r="BV408" s="1"/>
      <c r="BW408" s="1"/>
      <c r="BX408" s="1">
        <v>0</v>
      </c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>
        <v>0</v>
      </c>
    </row>
    <row r="410" spans="1:245" x14ac:dyDescent="0.2">
      <c r="A410" s="2">
        <v>52</v>
      </c>
      <c r="B410" s="2">
        <f t="shared" ref="B410:G410" si="274">B427</f>
        <v>1</v>
      </c>
      <c r="C410" s="2">
        <f t="shared" si="274"/>
        <v>4</v>
      </c>
      <c r="D410" s="2">
        <f t="shared" si="274"/>
        <v>408</v>
      </c>
      <c r="E410" s="2">
        <f t="shared" si="274"/>
        <v>0</v>
      </c>
      <c r="F410" s="2" t="str">
        <f t="shared" si="274"/>
        <v>Новый раздел</v>
      </c>
      <c r="G410" s="2" t="str">
        <f t="shared" si="274"/>
        <v>3. Контейнерная площадка S=23,22м2</v>
      </c>
      <c r="H410" s="2"/>
      <c r="I410" s="2"/>
      <c r="J410" s="2"/>
      <c r="K410" s="2"/>
      <c r="L410" s="2"/>
      <c r="M410" s="2"/>
      <c r="N410" s="2"/>
      <c r="O410" s="2">
        <f t="shared" ref="O410:AT410" si="275">O427</f>
        <v>9356</v>
      </c>
      <c r="P410" s="2">
        <f t="shared" si="275"/>
        <v>8193</v>
      </c>
      <c r="Q410" s="2">
        <f t="shared" si="275"/>
        <v>806</v>
      </c>
      <c r="R410" s="2">
        <f t="shared" si="275"/>
        <v>122</v>
      </c>
      <c r="S410" s="2">
        <f t="shared" si="275"/>
        <v>357</v>
      </c>
      <c r="T410" s="2">
        <f t="shared" si="275"/>
        <v>0</v>
      </c>
      <c r="U410" s="2">
        <f t="shared" si="275"/>
        <v>51.707344999999997</v>
      </c>
      <c r="V410" s="2">
        <f t="shared" si="275"/>
        <v>10.984575000000001</v>
      </c>
      <c r="W410" s="2">
        <f t="shared" si="275"/>
        <v>0</v>
      </c>
      <c r="X410" s="2">
        <f t="shared" si="275"/>
        <v>457</v>
      </c>
      <c r="Y410" s="2">
        <f t="shared" si="275"/>
        <v>320</v>
      </c>
      <c r="Z410" s="2">
        <f t="shared" si="275"/>
        <v>0</v>
      </c>
      <c r="AA410" s="2">
        <f t="shared" si="275"/>
        <v>0</v>
      </c>
      <c r="AB410" s="2">
        <f t="shared" si="275"/>
        <v>9356</v>
      </c>
      <c r="AC410" s="2">
        <f t="shared" si="275"/>
        <v>8193</v>
      </c>
      <c r="AD410" s="2">
        <f t="shared" si="275"/>
        <v>806</v>
      </c>
      <c r="AE410" s="2">
        <f t="shared" si="275"/>
        <v>122</v>
      </c>
      <c r="AF410" s="2">
        <f t="shared" si="275"/>
        <v>357</v>
      </c>
      <c r="AG410" s="2">
        <f t="shared" si="275"/>
        <v>0</v>
      </c>
      <c r="AH410" s="2">
        <f t="shared" si="275"/>
        <v>51.707344999999997</v>
      </c>
      <c r="AI410" s="2">
        <f t="shared" si="275"/>
        <v>10.984575000000001</v>
      </c>
      <c r="AJ410" s="2">
        <f t="shared" si="275"/>
        <v>0</v>
      </c>
      <c r="AK410" s="2">
        <f t="shared" si="275"/>
        <v>457</v>
      </c>
      <c r="AL410" s="2">
        <f t="shared" si="275"/>
        <v>320</v>
      </c>
      <c r="AM410" s="2">
        <f t="shared" si="275"/>
        <v>0</v>
      </c>
      <c r="AN410" s="2">
        <f t="shared" si="275"/>
        <v>0</v>
      </c>
      <c r="AO410" s="2">
        <f t="shared" si="275"/>
        <v>0</v>
      </c>
      <c r="AP410" s="2">
        <f t="shared" si="275"/>
        <v>0</v>
      </c>
      <c r="AQ410" s="2">
        <f t="shared" si="275"/>
        <v>0</v>
      </c>
      <c r="AR410" s="2">
        <f t="shared" si="275"/>
        <v>10133</v>
      </c>
      <c r="AS410" s="2">
        <f t="shared" si="275"/>
        <v>10133</v>
      </c>
      <c r="AT410" s="2">
        <f t="shared" si="275"/>
        <v>0</v>
      </c>
      <c r="AU410" s="2">
        <f t="shared" ref="AU410:BZ410" si="276">AU427</f>
        <v>0</v>
      </c>
      <c r="AV410" s="2">
        <f t="shared" si="276"/>
        <v>8193</v>
      </c>
      <c r="AW410" s="2">
        <f t="shared" si="276"/>
        <v>8193</v>
      </c>
      <c r="AX410" s="2">
        <f t="shared" si="276"/>
        <v>0</v>
      </c>
      <c r="AY410" s="2">
        <f t="shared" si="276"/>
        <v>8193</v>
      </c>
      <c r="AZ410" s="2">
        <f t="shared" si="276"/>
        <v>0</v>
      </c>
      <c r="BA410" s="2">
        <f t="shared" si="276"/>
        <v>0</v>
      </c>
      <c r="BB410" s="2">
        <f t="shared" si="276"/>
        <v>0</v>
      </c>
      <c r="BC410" s="2">
        <f t="shared" si="276"/>
        <v>0</v>
      </c>
      <c r="BD410" s="2">
        <f t="shared" si="276"/>
        <v>157</v>
      </c>
      <c r="BE410" s="2">
        <f t="shared" si="276"/>
        <v>0</v>
      </c>
      <c r="BF410" s="2">
        <f t="shared" si="276"/>
        <v>0</v>
      </c>
      <c r="BG410" s="2">
        <f t="shared" si="276"/>
        <v>0</v>
      </c>
      <c r="BH410" s="2">
        <f t="shared" si="276"/>
        <v>0</v>
      </c>
      <c r="BI410" s="2">
        <f t="shared" si="276"/>
        <v>0</v>
      </c>
      <c r="BJ410" s="2">
        <f t="shared" si="276"/>
        <v>0</v>
      </c>
      <c r="BK410" s="2">
        <f t="shared" si="276"/>
        <v>0</v>
      </c>
      <c r="BL410" s="2">
        <f t="shared" si="276"/>
        <v>0</v>
      </c>
      <c r="BM410" s="2">
        <f t="shared" si="276"/>
        <v>0</v>
      </c>
      <c r="BN410" s="2">
        <f t="shared" si="276"/>
        <v>0</v>
      </c>
      <c r="BO410" s="2">
        <f t="shared" si="276"/>
        <v>0</v>
      </c>
      <c r="BP410" s="2">
        <f t="shared" si="276"/>
        <v>0</v>
      </c>
      <c r="BQ410" s="2">
        <f t="shared" si="276"/>
        <v>0</v>
      </c>
      <c r="BR410" s="2">
        <f t="shared" si="276"/>
        <v>0</v>
      </c>
      <c r="BS410" s="2">
        <f t="shared" si="276"/>
        <v>0</v>
      </c>
      <c r="BT410" s="2">
        <f t="shared" si="276"/>
        <v>0</v>
      </c>
      <c r="BU410" s="2">
        <f t="shared" si="276"/>
        <v>0</v>
      </c>
      <c r="BV410" s="2">
        <f t="shared" si="276"/>
        <v>0</v>
      </c>
      <c r="BW410" s="2">
        <f t="shared" si="276"/>
        <v>0</v>
      </c>
      <c r="BX410" s="2">
        <f t="shared" si="276"/>
        <v>0</v>
      </c>
      <c r="BY410" s="2">
        <f t="shared" si="276"/>
        <v>0</v>
      </c>
      <c r="BZ410" s="2">
        <f t="shared" si="276"/>
        <v>0</v>
      </c>
      <c r="CA410" s="2">
        <f t="shared" ref="CA410:DF410" si="277">CA427</f>
        <v>10133</v>
      </c>
      <c r="CB410" s="2">
        <f t="shared" si="277"/>
        <v>10133</v>
      </c>
      <c r="CC410" s="2">
        <f t="shared" si="277"/>
        <v>0</v>
      </c>
      <c r="CD410" s="2">
        <f t="shared" si="277"/>
        <v>0</v>
      </c>
      <c r="CE410" s="2">
        <f t="shared" si="277"/>
        <v>8193</v>
      </c>
      <c r="CF410" s="2">
        <f t="shared" si="277"/>
        <v>8193</v>
      </c>
      <c r="CG410" s="2">
        <f t="shared" si="277"/>
        <v>0</v>
      </c>
      <c r="CH410" s="2">
        <f t="shared" si="277"/>
        <v>8193</v>
      </c>
      <c r="CI410" s="2">
        <f t="shared" si="277"/>
        <v>0</v>
      </c>
      <c r="CJ410" s="2">
        <f t="shared" si="277"/>
        <v>0</v>
      </c>
      <c r="CK410" s="2">
        <f t="shared" si="277"/>
        <v>0</v>
      </c>
      <c r="CL410" s="2">
        <f t="shared" si="277"/>
        <v>0</v>
      </c>
      <c r="CM410" s="2">
        <f t="shared" si="277"/>
        <v>157</v>
      </c>
      <c r="CN410" s="2">
        <f t="shared" si="277"/>
        <v>0</v>
      </c>
      <c r="CO410" s="2">
        <f t="shared" si="277"/>
        <v>0</v>
      </c>
      <c r="CP410" s="2">
        <f t="shared" si="277"/>
        <v>0</v>
      </c>
      <c r="CQ410" s="2">
        <f t="shared" si="277"/>
        <v>0</v>
      </c>
      <c r="CR410" s="2">
        <f t="shared" si="277"/>
        <v>0</v>
      </c>
      <c r="CS410" s="2">
        <f t="shared" si="277"/>
        <v>0</v>
      </c>
      <c r="CT410" s="2">
        <f t="shared" si="277"/>
        <v>0</v>
      </c>
      <c r="CU410" s="2">
        <f t="shared" si="277"/>
        <v>0</v>
      </c>
      <c r="CV410" s="2">
        <f t="shared" si="277"/>
        <v>0</v>
      </c>
      <c r="CW410" s="2">
        <f t="shared" si="277"/>
        <v>0</v>
      </c>
      <c r="CX410" s="2">
        <f t="shared" si="277"/>
        <v>0</v>
      </c>
      <c r="CY410" s="2">
        <f t="shared" si="277"/>
        <v>0</v>
      </c>
      <c r="CZ410" s="2">
        <f t="shared" si="277"/>
        <v>0</v>
      </c>
      <c r="DA410" s="2">
        <f t="shared" si="277"/>
        <v>0</v>
      </c>
      <c r="DB410" s="2">
        <f t="shared" si="277"/>
        <v>0</v>
      </c>
      <c r="DC410" s="2">
        <f t="shared" si="277"/>
        <v>0</v>
      </c>
      <c r="DD410" s="2">
        <f t="shared" si="277"/>
        <v>0</v>
      </c>
      <c r="DE410" s="2">
        <f t="shared" si="277"/>
        <v>0</v>
      </c>
      <c r="DF410" s="2">
        <f t="shared" si="277"/>
        <v>0</v>
      </c>
      <c r="DG410" s="3">
        <f t="shared" ref="DG410:EL410" si="278">DG427</f>
        <v>0</v>
      </c>
      <c r="DH410" s="3">
        <f t="shared" si="278"/>
        <v>0</v>
      </c>
      <c r="DI410" s="3">
        <f t="shared" si="278"/>
        <v>0</v>
      </c>
      <c r="DJ410" s="3">
        <f t="shared" si="278"/>
        <v>0</v>
      </c>
      <c r="DK410" s="3">
        <f t="shared" si="278"/>
        <v>0</v>
      </c>
      <c r="DL410" s="3">
        <f t="shared" si="278"/>
        <v>0</v>
      </c>
      <c r="DM410" s="3">
        <f t="shared" si="278"/>
        <v>0</v>
      </c>
      <c r="DN410" s="3">
        <f t="shared" si="278"/>
        <v>0</v>
      </c>
      <c r="DO410" s="3">
        <f t="shared" si="278"/>
        <v>0</v>
      </c>
      <c r="DP410" s="3">
        <f t="shared" si="278"/>
        <v>0</v>
      </c>
      <c r="DQ410" s="3">
        <f t="shared" si="278"/>
        <v>0</v>
      </c>
      <c r="DR410" s="3">
        <f t="shared" si="278"/>
        <v>0</v>
      </c>
      <c r="DS410" s="3">
        <f t="shared" si="278"/>
        <v>0</v>
      </c>
      <c r="DT410" s="3">
        <f t="shared" si="278"/>
        <v>0</v>
      </c>
      <c r="DU410" s="3">
        <f t="shared" si="278"/>
        <v>0</v>
      </c>
      <c r="DV410" s="3">
        <f t="shared" si="278"/>
        <v>0</v>
      </c>
      <c r="DW410" s="3">
        <f t="shared" si="278"/>
        <v>0</v>
      </c>
      <c r="DX410" s="3">
        <f t="shared" si="278"/>
        <v>0</v>
      </c>
      <c r="DY410" s="3">
        <f t="shared" si="278"/>
        <v>0</v>
      </c>
      <c r="DZ410" s="3">
        <f t="shared" si="278"/>
        <v>0</v>
      </c>
      <c r="EA410" s="3">
        <f t="shared" si="278"/>
        <v>0</v>
      </c>
      <c r="EB410" s="3">
        <f t="shared" si="278"/>
        <v>0</v>
      </c>
      <c r="EC410" s="3">
        <f t="shared" si="278"/>
        <v>0</v>
      </c>
      <c r="ED410" s="3">
        <f t="shared" si="278"/>
        <v>0</v>
      </c>
      <c r="EE410" s="3">
        <f t="shared" si="278"/>
        <v>0</v>
      </c>
      <c r="EF410" s="3">
        <f t="shared" si="278"/>
        <v>0</v>
      </c>
      <c r="EG410" s="3">
        <f t="shared" si="278"/>
        <v>0</v>
      </c>
      <c r="EH410" s="3">
        <f t="shared" si="278"/>
        <v>0</v>
      </c>
      <c r="EI410" s="3">
        <f t="shared" si="278"/>
        <v>0</v>
      </c>
      <c r="EJ410" s="3">
        <f t="shared" si="278"/>
        <v>0</v>
      </c>
      <c r="EK410" s="3">
        <f t="shared" si="278"/>
        <v>0</v>
      </c>
      <c r="EL410" s="3">
        <f t="shared" si="278"/>
        <v>0</v>
      </c>
      <c r="EM410" s="3">
        <f t="shared" ref="EM410:FR410" si="279">EM427</f>
        <v>0</v>
      </c>
      <c r="EN410" s="3">
        <f t="shared" si="279"/>
        <v>0</v>
      </c>
      <c r="EO410" s="3">
        <f t="shared" si="279"/>
        <v>0</v>
      </c>
      <c r="EP410" s="3">
        <f t="shared" si="279"/>
        <v>0</v>
      </c>
      <c r="EQ410" s="3">
        <f t="shared" si="279"/>
        <v>0</v>
      </c>
      <c r="ER410" s="3">
        <f t="shared" si="279"/>
        <v>0</v>
      </c>
      <c r="ES410" s="3">
        <f t="shared" si="279"/>
        <v>0</v>
      </c>
      <c r="ET410" s="3">
        <f t="shared" si="279"/>
        <v>0</v>
      </c>
      <c r="EU410" s="3">
        <f t="shared" si="279"/>
        <v>0</v>
      </c>
      <c r="EV410" s="3">
        <f t="shared" si="279"/>
        <v>0</v>
      </c>
      <c r="EW410" s="3">
        <f t="shared" si="279"/>
        <v>0</v>
      </c>
      <c r="EX410" s="3">
        <f t="shared" si="279"/>
        <v>0</v>
      </c>
      <c r="EY410" s="3">
        <f t="shared" si="279"/>
        <v>0</v>
      </c>
      <c r="EZ410" s="3">
        <f t="shared" si="279"/>
        <v>0</v>
      </c>
      <c r="FA410" s="3">
        <f t="shared" si="279"/>
        <v>0</v>
      </c>
      <c r="FB410" s="3">
        <f t="shared" si="279"/>
        <v>0</v>
      </c>
      <c r="FC410" s="3">
        <f t="shared" si="279"/>
        <v>0</v>
      </c>
      <c r="FD410" s="3">
        <f t="shared" si="279"/>
        <v>0</v>
      </c>
      <c r="FE410" s="3">
        <f t="shared" si="279"/>
        <v>0</v>
      </c>
      <c r="FF410" s="3">
        <f t="shared" si="279"/>
        <v>0</v>
      </c>
      <c r="FG410" s="3">
        <f t="shared" si="279"/>
        <v>0</v>
      </c>
      <c r="FH410" s="3">
        <f t="shared" si="279"/>
        <v>0</v>
      </c>
      <c r="FI410" s="3">
        <f t="shared" si="279"/>
        <v>0</v>
      </c>
      <c r="FJ410" s="3">
        <f t="shared" si="279"/>
        <v>0</v>
      </c>
      <c r="FK410" s="3">
        <f t="shared" si="279"/>
        <v>0</v>
      </c>
      <c r="FL410" s="3">
        <f t="shared" si="279"/>
        <v>0</v>
      </c>
      <c r="FM410" s="3">
        <f t="shared" si="279"/>
        <v>0</v>
      </c>
      <c r="FN410" s="3">
        <f t="shared" si="279"/>
        <v>0</v>
      </c>
      <c r="FO410" s="3">
        <f t="shared" si="279"/>
        <v>0</v>
      </c>
      <c r="FP410" s="3">
        <f t="shared" si="279"/>
        <v>0</v>
      </c>
      <c r="FQ410" s="3">
        <f t="shared" si="279"/>
        <v>0</v>
      </c>
      <c r="FR410" s="3">
        <f t="shared" si="279"/>
        <v>0</v>
      </c>
      <c r="FS410" s="3">
        <f t="shared" ref="FS410:GX410" si="280">FS427</f>
        <v>0</v>
      </c>
      <c r="FT410" s="3">
        <f t="shared" si="280"/>
        <v>0</v>
      </c>
      <c r="FU410" s="3">
        <f t="shared" si="280"/>
        <v>0</v>
      </c>
      <c r="FV410" s="3">
        <f t="shared" si="280"/>
        <v>0</v>
      </c>
      <c r="FW410" s="3">
        <f t="shared" si="280"/>
        <v>0</v>
      </c>
      <c r="FX410" s="3">
        <f t="shared" si="280"/>
        <v>0</v>
      </c>
      <c r="FY410" s="3">
        <f t="shared" si="280"/>
        <v>0</v>
      </c>
      <c r="FZ410" s="3">
        <f t="shared" si="280"/>
        <v>0</v>
      </c>
      <c r="GA410" s="3">
        <f t="shared" si="280"/>
        <v>0</v>
      </c>
      <c r="GB410" s="3">
        <f t="shared" si="280"/>
        <v>0</v>
      </c>
      <c r="GC410" s="3">
        <f t="shared" si="280"/>
        <v>0</v>
      </c>
      <c r="GD410" s="3">
        <f t="shared" si="280"/>
        <v>0</v>
      </c>
      <c r="GE410" s="3">
        <f t="shared" si="280"/>
        <v>0</v>
      </c>
      <c r="GF410" s="3">
        <f t="shared" si="280"/>
        <v>0</v>
      </c>
      <c r="GG410" s="3">
        <f t="shared" si="280"/>
        <v>0</v>
      </c>
      <c r="GH410" s="3">
        <f t="shared" si="280"/>
        <v>0</v>
      </c>
      <c r="GI410" s="3">
        <f t="shared" si="280"/>
        <v>0</v>
      </c>
      <c r="GJ410" s="3">
        <f t="shared" si="280"/>
        <v>0</v>
      </c>
      <c r="GK410" s="3">
        <f t="shared" si="280"/>
        <v>0</v>
      </c>
      <c r="GL410" s="3">
        <f t="shared" si="280"/>
        <v>0</v>
      </c>
      <c r="GM410" s="3">
        <f t="shared" si="280"/>
        <v>0</v>
      </c>
      <c r="GN410" s="3">
        <f t="shared" si="280"/>
        <v>0</v>
      </c>
      <c r="GO410" s="3">
        <f t="shared" si="280"/>
        <v>0</v>
      </c>
      <c r="GP410" s="3">
        <f t="shared" si="280"/>
        <v>0</v>
      </c>
      <c r="GQ410" s="3">
        <f t="shared" si="280"/>
        <v>0</v>
      </c>
      <c r="GR410" s="3">
        <f t="shared" si="280"/>
        <v>0</v>
      </c>
      <c r="GS410" s="3">
        <f t="shared" si="280"/>
        <v>0</v>
      </c>
      <c r="GT410" s="3">
        <f t="shared" si="280"/>
        <v>0</v>
      </c>
      <c r="GU410" s="3">
        <f t="shared" si="280"/>
        <v>0</v>
      </c>
      <c r="GV410" s="3">
        <f t="shared" si="280"/>
        <v>0</v>
      </c>
      <c r="GW410" s="3">
        <f t="shared" si="280"/>
        <v>0</v>
      </c>
      <c r="GX410" s="3">
        <f t="shared" si="280"/>
        <v>0</v>
      </c>
    </row>
    <row r="412" spans="1:245" x14ac:dyDescent="0.2">
      <c r="A412">
        <v>17</v>
      </c>
      <c r="B412">
        <v>1</v>
      </c>
      <c r="C412">
        <f>ROW(SmtRes!A191)</f>
        <v>191</v>
      </c>
      <c r="D412">
        <f>ROW(EtalonRes!A187)</f>
        <v>187</v>
      </c>
      <c r="E412" t="s">
        <v>320</v>
      </c>
      <c r="F412" t="s">
        <v>321</v>
      </c>
      <c r="G412" t="s">
        <v>322</v>
      </c>
      <c r="H412" t="s">
        <v>323</v>
      </c>
      <c r="I412">
        <v>7.0000000000000007E-2</v>
      </c>
      <c r="J412">
        <v>0</v>
      </c>
      <c r="O412">
        <f t="shared" ref="O412:O425" si="281">ROUND(CP412,0)</f>
        <v>394</v>
      </c>
      <c r="P412">
        <f t="shared" ref="P412:P425" si="282">ROUND(CQ412*I412,0)</f>
        <v>0</v>
      </c>
      <c r="Q412">
        <f t="shared" ref="Q412:Q425" si="283">ROUND(CR412*I412,0)</f>
        <v>279</v>
      </c>
      <c r="R412">
        <f t="shared" ref="R412:R425" si="284">ROUND(CS412*I412,0)</f>
        <v>29</v>
      </c>
      <c r="S412">
        <f t="shared" ref="S412:S425" si="285">ROUND(CT412*I412,0)</f>
        <v>115</v>
      </c>
      <c r="T412">
        <f t="shared" ref="T412:T425" si="286">ROUND(CU412*I412,0)</f>
        <v>0</v>
      </c>
      <c r="U412">
        <f t="shared" ref="U412:U425" si="287">CV412*I412</f>
        <v>17.034500000000001</v>
      </c>
      <c r="V412">
        <f t="shared" ref="V412:V425" si="288">CW412*I412</f>
        <v>2.8973000000000004</v>
      </c>
      <c r="W412">
        <f t="shared" ref="W412:W425" si="289">ROUND(CX412*I412,0)</f>
        <v>0</v>
      </c>
      <c r="X412">
        <f t="shared" ref="X412:X425" si="290">ROUND(CY412,0)</f>
        <v>150</v>
      </c>
      <c r="Y412">
        <f t="shared" ref="Y412:Y425" si="291">ROUND(CZ412,0)</f>
        <v>86</v>
      </c>
      <c r="AA412">
        <v>50210945</v>
      </c>
      <c r="AB412">
        <f t="shared" ref="AB412:AB425" si="292">ROUND((AC412+AD412+AF412),1)</f>
        <v>5623.8</v>
      </c>
      <c r="AC412">
        <f t="shared" ref="AC412:AC425" si="293">ROUND((ES412),1)</f>
        <v>0</v>
      </c>
      <c r="AD412">
        <f>ROUND((((ET412)-(EU412))+AE412),1)</f>
        <v>3978.7</v>
      </c>
      <c r="AE412">
        <f>ROUND((EU412),1)</f>
        <v>416</v>
      </c>
      <c r="AF412">
        <f>ROUND((EV412),1)</f>
        <v>1645.1</v>
      </c>
      <c r="AG412">
        <f t="shared" ref="AG412:AG425" si="294">ROUND((AP412),1)</f>
        <v>0</v>
      </c>
      <c r="AH412">
        <f t="shared" ref="AH412:AI414" si="295">(EW412)</f>
        <v>243.35</v>
      </c>
      <c r="AI412">
        <f t="shared" si="295"/>
        <v>41.39</v>
      </c>
      <c r="AJ412">
        <f t="shared" ref="AJ412:AJ425" si="296">(AS412)</f>
        <v>0</v>
      </c>
      <c r="AK412">
        <v>5623.67</v>
      </c>
      <c r="AL412">
        <v>0</v>
      </c>
      <c r="AM412">
        <v>3978.62</v>
      </c>
      <c r="AN412">
        <v>415.97</v>
      </c>
      <c r="AO412">
        <v>1645.05</v>
      </c>
      <c r="AP412">
        <v>0</v>
      </c>
      <c r="AQ412">
        <v>243.35</v>
      </c>
      <c r="AR412">
        <v>41.39</v>
      </c>
      <c r="AS412">
        <v>0</v>
      </c>
      <c r="AT412">
        <v>104</v>
      </c>
      <c r="AU412">
        <v>60</v>
      </c>
      <c r="AV412">
        <v>1</v>
      </c>
      <c r="AW412">
        <v>1</v>
      </c>
      <c r="AZ412">
        <v>1</v>
      </c>
      <c r="BA412">
        <v>1</v>
      </c>
      <c r="BB412">
        <v>1</v>
      </c>
      <c r="BC412">
        <v>1</v>
      </c>
      <c r="BD412" t="s">
        <v>3</v>
      </c>
      <c r="BE412" t="s">
        <v>3</v>
      </c>
      <c r="BF412" t="s">
        <v>3</v>
      </c>
      <c r="BG412" t="s">
        <v>3</v>
      </c>
      <c r="BH412">
        <v>0</v>
      </c>
      <c r="BI412">
        <v>1</v>
      </c>
      <c r="BJ412" t="s">
        <v>324</v>
      </c>
      <c r="BM412">
        <v>68001</v>
      </c>
      <c r="BN412">
        <v>0</v>
      </c>
      <c r="BO412" t="s">
        <v>3</v>
      </c>
      <c r="BP412">
        <v>0</v>
      </c>
      <c r="BQ412">
        <v>6</v>
      </c>
      <c r="BR412">
        <v>0</v>
      </c>
      <c r="BS412">
        <v>1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104</v>
      </c>
      <c r="CA412">
        <v>60</v>
      </c>
      <c r="CE412">
        <v>0</v>
      </c>
      <c r="CF412">
        <v>0</v>
      </c>
      <c r="CG412">
        <v>0</v>
      </c>
      <c r="CM412">
        <v>0</v>
      </c>
      <c r="CN412" t="s">
        <v>3</v>
      </c>
      <c r="CO412">
        <v>0</v>
      </c>
      <c r="CP412">
        <f t="shared" ref="CP412:CP425" si="297">(P412+Q412+S412)</f>
        <v>394</v>
      </c>
      <c r="CQ412">
        <f t="shared" ref="CQ412:CQ425" si="298">AC412*BC412</f>
        <v>0</v>
      </c>
      <c r="CR412">
        <f t="shared" ref="CR412:CR425" si="299">AD412*BB412</f>
        <v>3978.7</v>
      </c>
      <c r="CS412">
        <f t="shared" ref="CS412:CS425" si="300">AE412*BS412</f>
        <v>416</v>
      </c>
      <c r="CT412">
        <f t="shared" ref="CT412:CT425" si="301">AF412*BA412</f>
        <v>1645.1</v>
      </c>
      <c r="CU412">
        <f t="shared" ref="CU412:CU425" si="302">AG412</f>
        <v>0</v>
      </c>
      <c r="CV412">
        <f t="shared" ref="CV412:CV425" si="303">AH412</f>
        <v>243.35</v>
      </c>
      <c r="CW412">
        <f t="shared" ref="CW412:CW425" si="304">AI412</f>
        <v>41.39</v>
      </c>
      <c r="CX412">
        <f t="shared" ref="CX412:CX425" si="305">AJ412</f>
        <v>0</v>
      </c>
      <c r="CY412">
        <f t="shared" ref="CY412:CY425" si="306">(((S412+R412)*AT412)/100)</f>
        <v>149.76</v>
      </c>
      <c r="CZ412">
        <f t="shared" ref="CZ412:CZ425" si="307">(((S412+R412)*AU412)/100)</f>
        <v>86.4</v>
      </c>
      <c r="DC412" t="s">
        <v>3</v>
      </c>
      <c r="DD412" t="s">
        <v>3</v>
      </c>
      <c r="DE412" t="s">
        <v>3</v>
      </c>
      <c r="DF412" t="s">
        <v>3</v>
      </c>
      <c r="DG412" t="s">
        <v>3</v>
      </c>
      <c r="DH412" t="s">
        <v>3</v>
      </c>
      <c r="DI412" t="s">
        <v>3</v>
      </c>
      <c r="DJ412" t="s">
        <v>3</v>
      </c>
      <c r="DK412" t="s">
        <v>3</v>
      </c>
      <c r="DL412" t="s">
        <v>3</v>
      </c>
      <c r="DM412" t="s">
        <v>3</v>
      </c>
      <c r="DN412">
        <v>0</v>
      </c>
      <c r="DO412">
        <v>0</v>
      </c>
      <c r="DP412">
        <v>1</v>
      </c>
      <c r="DQ412">
        <v>1</v>
      </c>
      <c r="DU412">
        <v>1007</v>
      </c>
      <c r="DV412" t="s">
        <v>323</v>
      </c>
      <c r="DW412" t="s">
        <v>323</v>
      </c>
      <c r="DX412">
        <v>100</v>
      </c>
      <c r="EE412">
        <v>48752341</v>
      </c>
      <c r="EF412">
        <v>6</v>
      </c>
      <c r="EG412" t="s">
        <v>22</v>
      </c>
      <c r="EH412">
        <v>0</v>
      </c>
      <c r="EI412" t="s">
        <v>3</v>
      </c>
      <c r="EJ412">
        <v>1</v>
      </c>
      <c r="EK412">
        <v>68001</v>
      </c>
      <c r="EL412" t="s">
        <v>23</v>
      </c>
      <c r="EM412" t="s">
        <v>24</v>
      </c>
      <c r="EO412" t="s">
        <v>3</v>
      </c>
      <c r="EQ412">
        <v>131072</v>
      </c>
      <c r="ER412">
        <v>5623.67</v>
      </c>
      <c r="ES412">
        <v>0</v>
      </c>
      <c r="ET412">
        <v>3978.62</v>
      </c>
      <c r="EU412">
        <v>415.97</v>
      </c>
      <c r="EV412">
        <v>1645.05</v>
      </c>
      <c r="EW412">
        <v>243.35</v>
      </c>
      <c r="EX412">
        <v>41.39</v>
      </c>
      <c r="EY412">
        <v>0</v>
      </c>
      <c r="FQ412">
        <v>0</v>
      </c>
      <c r="FR412">
        <f t="shared" ref="FR412:FR425" si="308">ROUND(IF(AND(BH412=3,BI412=3),P412,0),0)</f>
        <v>0</v>
      </c>
      <c r="FS412">
        <v>0</v>
      </c>
      <c r="FX412">
        <v>104</v>
      </c>
      <c r="FY412">
        <v>60</v>
      </c>
      <c r="GA412" t="s">
        <v>3</v>
      </c>
      <c r="GD412">
        <v>1</v>
      </c>
      <c r="GF412">
        <v>836996749</v>
      </c>
      <c r="GG412">
        <v>2</v>
      </c>
      <c r="GH412">
        <v>0</v>
      </c>
      <c r="GI412">
        <v>0</v>
      </c>
      <c r="GJ412">
        <v>0</v>
      </c>
      <c r="GK412">
        <v>0</v>
      </c>
      <c r="GL412">
        <f t="shared" ref="GL412:GL425" si="309">ROUND(IF(AND(BH412=3,BI412=3,FS412&lt;&gt;0),P412,0),0)</f>
        <v>0</v>
      </c>
      <c r="GM412">
        <f t="shared" ref="GM412:GM425" si="310">ROUND(O412+X412+Y412,0)+GX412</f>
        <v>630</v>
      </c>
      <c r="GN412">
        <f t="shared" ref="GN412:GN425" si="311">IF(OR(BI412=0,BI412=1),ROUND(O412+X412+Y412,0),0)</f>
        <v>630</v>
      </c>
      <c r="GO412">
        <f t="shared" ref="GO412:GO425" si="312">IF(BI412=2,ROUND(O412+X412+Y412,0),0)</f>
        <v>0</v>
      </c>
      <c r="GP412">
        <f t="shared" ref="GP412:GP425" si="313">IF(BI412=4,ROUND(O412+X412+Y412,0)+GX412,0)</f>
        <v>0</v>
      </c>
      <c r="GR412">
        <v>0</v>
      </c>
      <c r="GS412">
        <v>0</v>
      </c>
      <c r="GT412">
        <v>0</v>
      </c>
      <c r="GU412" t="s">
        <v>3</v>
      </c>
      <c r="GV412">
        <f t="shared" ref="GV412:GV425" si="314">ROUND((GT412),1)</f>
        <v>0</v>
      </c>
      <c r="GW412">
        <v>1</v>
      </c>
      <c r="GX412">
        <f t="shared" ref="GX412:GX425" si="315">ROUND(HC412*I412,0)</f>
        <v>0</v>
      </c>
      <c r="HA412">
        <v>0</v>
      </c>
      <c r="HB412">
        <v>0</v>
      </c>
      <c r="HC412">
        <f t="shared" ref="HC412:HC425" si="316">GV412*GW412</f>
        <v>0</v>
      </c>
      <c r="IK412">
        <v>0</v>
      </c>
    </row>
    <row r="413" spans="1:245" x14ac:dyDescent="0.2">
      <c r="A413">
        <v>17</v>
      </c>
      <c r="B413">
        <v>1</v>
      </c>
      <c r="E413" t="s">
        <v>325</v>
      </c>
      <c r="F413" t="s">
        <v>81</v>
      </c>
      <c r="G413" t="s">
        <v>82</v>
      </c>
      <c r="H413" t="s">
        <v>37</v>
      </c>
      <c r="I413">
        <f>ROUND(I412*100*2.2,4)</f>
        <v>15.4</v>
      </c>
      <c r="J413">
        <v>0</v>
      </c>
      <c r="O413">
        <f t="shared" si="281"/>
        <v>54</v>
      </c>
      <c r="P413">
        <f t="shared" si="282"/>
        <v>0</v>
      </c>
      <c r="Q413">
        <f t="shared" si="283"/>
        <v>54</v>
      </c>
      <c r="R413">
        <f t="shared" si="284"/>
        <v>0</v>
      </c>
      <c r="S413">
        <f t="shared" si="285"/>
        <v>0</v>
      </c>
      <c r="T413">
        <f t="shared" si="286"/>
        <v>0</v>
      </c>
      <c r="U413">
        <f t="shared" si="287"/>
        <v>0</v>
      </c>
      <c r="V413">
        <f t="shared" si="288"/>
        <v>0</v>
      </c>
      <c r="W413">
        <f t="shared" si="289"/>
        <v>0</v>
      </c>
      <c r="X413">
        <f t="shared" si="290"/>
        <v>0</v>
      </c>
      <c r="Y413">
        <f t="shared" si="291"/>
        <v>0</v>
      </c>
      <c r="AA413">
        <v>50210945</v>
      </c>
      <c r="AB413">
        <f t="shared" si="292"/>
        <v>3.5</v>
      </c>
      <c r="AC413">
        <f t="shared" si="293"/>
        <v>0</v>
      </c>
      <c r="AD413">
        <f>ROUND(((ET413)+ROUND(((EU413)*1.6),2)),1)</f>
        <v>3.5</v>
      </c>
      <c r="AE413">
        <f>ROUND(((EU413)+ROUND(((EU413)*1.6),2)),1)</f>
        <v>0</v>
      </c>
      <c r="AF413">
        <f>ROUND(((EV413)+ROUND(((EV413)*1.6),2)),1)</f>
        <v>0</v>
      </c>
      <c r="AG413">
        <f t="shared" si="294"/>
        <v>0</v>
      </c>
      <c r="AH413">
        <f t="shared" si="295"/>
        <v>0</v>
      </c>
      <c r="AI413">
        <f t="shared" si="295"/>
        <v>0</v>
      </c>
      <c r="AJ413">
        <f t="shared" si="296"/>
        <v>0</v>
      </c>
      <c r="AK413">
        <v>3.52</v>
      </c>
      <c r="AL413">
        <v>0</v>
      </c>
      <c r="AM413">
        <v>3.52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1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1</v>
      </c>
      <c r="BJ413" t="s">
        <v>83</v>
      </c>
      <c r="BM413">
        <v>700004</v>
      </c>
      <c r="BN413">
        <v>0</v>
      </c>
      <c r="BO413" t="s">
        <v>3</v>
      </c>
      <c r="BP413">
        <v>0</v>
      </c>
      <c r="BQ413">
        <v>19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0</v>
      </c>
      <c r="CA413">
        <v>0</v>
      </c>
      <c r="CE413">
        <v>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si="297"/>
        <v>54</v>
      </c>
      <c r="CQ413">
        <f t="shared" si="298"/>
        <v>0</v>
      </c>
      <c r="CR413">
        <f t="shared" si="299"/>
        <v>3.5</v>
      </c>
      <c r="CS413">
        <f t="shared" si="300"/>
        <v>0</v>
      </c>
      <c r="CT413">
        <f t="shared" si="301"/>
        <v>0</v>
      </c>
      <c r="CU413">
        <f t="shared" si="302"/>
        <v>0</v>
      </c>
      <c r="CV413">
        <f t="shared" si="303"/>
        <v>0</v>
      </c>
      <c r="CW413">
        <f t="shared" si="304"/>
        <v>0</v>
      </c>
      <c r="CX413">
        <f t="shared" si="305"/>
        <v>0</v>
      </c>
      <c r="CY413">
        <f t="shared" si="306"/>
        <v>0</v>
      </c>
      <c r="CZ413">
        <f t="shared" si="307"/>
        <v>0</v>
      </c>
      <c r="DC413" t="s">
        <v>3</v>
      </c>
      <c r="DD413" t="s">
        <v>3</v>
      </c>
      <c r="DE413" t="s">
        <v>3</v>
      </c>
      <c r="DF413" t="s">
        <v>3</v>
      </c>
      <c r="DG413" t="s">
        <v>3</v>
      </c>
      <c r="DH413" t="s">
        <v>3</v>
      </c>
      <c r="DI413" t="s">
        <v>3</v>
      </c>
      <c r="DJ413" t="s">
        <v>3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1013</v>
      </c>
      <c r="DV413" t="s">
        <v>37</v>
      </c>
      <c r="DW413" t="s">
        <v>37</v>
      </c>
      <c r="DX413">
        <v>1</v>
      </c>
      <c r="EE413">
        <v>48752403</v>
      </c>
      <c r="EF413">
        <v>19</v>
      </c>
      <c r="EG413" t="s">
        <v>39</v>
      </c>
      <c r="EH413">
        <v>0</v>
      </c>
      <c r="EI413" t="s">
        <v>3</v>
      </c>
      <c r="EJ413">
        <v>1</v>
      </c>
      <c r="EK413">
        <v>700004</v>
      </c>
      <c r="EL413" t="s">
        <v>40</v>
      </c>
      <c r="EM413" t="s">
        <v>41</v>
      </c>
      <c r="EO413" t="s">
        <v>3</v>
      </c>
      <c r="EQ413">
        <v>131072</v>
      </c>
      <c r="ER413">
        <v>3.52</v>
      </c>
      <c r="ES413">
        <v>0</v>
      </c>
      <c r="ET413">
        <v>3.52</v>
      </c>
      <c r="EU413">
        <v>0</v>
      </c>
      <c r="EV413">
        <v>0</v>
      </c>
      <c r="EW413">
        <v>0</v>
      </c>
      <c r="EX413">
        <v>0</v>
      </c>
      <c r="EY413">
        <v>0</v>
      </c>
      <c r="FQ413">
        <v>0</v>
      </c>
      <c r="FR413">
        <f t="shared" si="308"/>
        <v>0</v>
      </c>
      <c r="FS413">
        <v>0</v>
      </c>
      <c r="FX413">
        <v>0</v>
      </c>
      <c r="FY413">
        <v>0</v>
      </c>
      <c r="GA413" t="s">
        <v>3</v>
      </c>
      <c r="GD413">
        <v>1</v>
      </c>
      <c r="GF413">
        <v>1664035000</v>
      </c>
      <c r="GG413">
        <v>2</v>
      </c>
      <c r="GH413">
        <v>0</v>
      </c>
      <c r="GI413">
        <v>0</v>
      </c>
      <c r="GJ413">
        <v>0</v>
      </c>
      <c r="GK413">
        <v>0</v>
      </c>
      <c r="GL413">
        <f t="shared" si="309"/>
        <v>0</v>
      </c>
      <c r="GM413">
        <f t="shared" si="310"/>
        <v>54</v>
      </c>
      <c r="GN413">
        <f t="shared" si="311"/>
        <v>54</v>
      </c>
      <c r="GO413">
        <f t="shared" si="312"/>
        <v>0</v>
      </c>
      <c r="GP413">
        <f t="shared" si="313"/>
        <v>0</v>
      </c>
      <c r="GR413">
        <v>0</v>
      </c>
      <c r="GS413">
        <v>0</v>
      </c>
      <c r="GT413">
        <v>0</v>
      </c>
      <c r="GU413" t="s">
        <v>3</v>
      </c>
      <c r="GV413">
        <f t="shared" si="314"/>
        <v>0</v>
      </c>
      <c r="GW413">
        <v>1</v>
      </c>
      <c r="GX413">
        <f t="shared" si="315"/>
        <v>0</v>
      </c>
      <c r="HA413">
        <v>0</v>
      </c>
      <c r="HB413">
        <v>0</v>
      </c>
      <c r="HC413">
        <f t="shared" si="316"/>
        <v>0</v>
      </c>
      <c r="HD413">
        <f>GM413</f>
        <v>54</v>
      </c>
      <c r="IK413">
        <v>0</v>
      </c>
    </row>
    <row r="414" spans="1:245" x14ac:dyDescent="0.2">
      <c r="A414">
        <v>17</v>
      </c>
      <c r="B414">
        <v>1</v>
      </c>
      <c r="E414" t="s">
        <v>326</v>
      </c>
      <c r="F414" t="s">
        <v>65</v>
      </c>
      <c r="G414" t="s">
        <v>66</v>
      </c>
      <c r="H414" t="s">
        <v>37</v>
      </c>
      <c r="I414">
        <f>ROUND(I413,4)</f>
        <v>15.4</v>
      </c>
      <c r="J414">
        <v>0</v>
      </c>
      <c r="O414">
        <f t="shared" si="281"/>
        <v>103</v>
      </c>
      <c r="P414">
        <f t="shared" si="282"/>
        <v>0</v>
      </c>
      <c r="Q414">
        <f t="shared" si="283"/>
        <v>103</v>
      </c>
      <c r="R414">
        <f t="shared" si="284"/>
        <v>0</v>
      </c>
      <c r="S414">
        <f t="shared" si="285"/>
        <v>0</v>
      </c>
      <c r="T414">
        <f t="shared" si="286"/>
        <v>0</v>
      </c>
      <c r="U414">
        <f t="shared" si="287"/>
        <v>0</v>
      </c>
      <c r="V414">
        <f t="shared" si="288"/>
        <v>0</v>
      </c>
      <c r="W414">
        <f t="shared" si="289"/>
        <v>0</v>
      </c>
      <c r="X414">
        <f t="shared" si="290"/>
        <v>0</v>
      </c>
      <c r="Y414">
        <f t="shared" si="291"/>
        <v>0</v>
      </c>
      <c r="AA414">
        <v>50210945</v>
      </c>
      <c r="AB414">
        <f t="shared" si="292"/>
        <v>6.7</v>
      </c>
      <c r="AC414">
        <f t="shared" si="293"/>
        <v>0</v>
      </c>
      <c r="AD414">
        <f>ROUND(((ET414)+ROUND(((EU414)*1.85),2)),1)</f>
        <v>6.7</v>
      </c>
      <c r="AE414">
        <f>ROUND(((EU414)+ROUND(((EU414)*1.85),2)),1)</f>
        <v>0</v>
      </c>
      <c r="AF414">
        <f>ROUND(((EV414)+ROUND(((EV414)*1.85),2)),1)</f>
        <v>0</v>
      </c>
      <c r="AG414">
        <f t="shared" si="294"/>
        <v>0</v>
      </c>
      <c r="AH414">
        <f t="shared" si="295"/>
        <v>0</v>
      </c>
      <c r="AI414">
        <f t="shared" si="295"/>
        <v>0</v>
      </c>
      <c r="AJ414">
        <f t="shared" si="296"/>
        <v>0</v>
      </c>
      <c r="AK414">
        <v>6.65</v>
      </c>
      <c r="AL414">
        <v>0</v>
      </c>
      <c r="AM414">
        <v>6.65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1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1</v>
      </c>
      <c r="BJ414" t="s">
        <v>67</v>
      </c>
      <c r="BM414">
        <v>700001</v>
      </c>
      <c r="BN414">
        <v>0</v>
      </c>
      <c r="BO414" t="s">
        <v>3</v>
      </c>
      <c r="BP414">
        <v>0</v>
      </c>
      <c r="BQ414">
        <v>10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0</v>
      </c>
      <c r="CA414">
        <v>0</v>
      </c>
      <c r="CE414">
        <v>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297"/>
        <v>103</v>
      </c>
      <c r="CQ414">
        <f t="shared" si="298"/>
        <v>0</v>
      </c>
      <c r="CR414">
        <f t="shared" si="299"/>
        <v>6.7</v>
      </c>
      <c r="CS414">
        <f t="shared" si="300"/>
        <v>0</v>
      </c>
      <c r="CT414">
        <f t="shared" si="301"/>
        <v>0</v>
      </c>
      <c r="CU414">
        <f t="shared" si="302"/>
        <v>0</v>
      </c>
      <c r="CV414">
        <f t="shared" si="303"/>
        <v>0</v>
      </c>
      <c r="CW414">
        <f t="shared" si="304"/>
        <v>0</v>
      </c>
      <c r="CX414">
        <f t="shared" si="305"/>
        <v>0</v>
      </c>
      <c r="CY414">
        <f t="shared" si="306"/>
        <v>0</v>
      </c>
      <c r="CZ414">
        <f t="shared" si="307"/>
        <v>0</v>
      </c>
      <c r="DC414" t="s">
        <v>3</v>
      </c>
      <c r="DD414" t="s">
        <v>3</v>
      </c>
      <c r="DE414" t="s">
        <v>3</v>
      </c>
      <c r="DF414" t="s">
        <v>3</v>
      </c>
      <c r="DG414" t="s">
        <v>3</v>
      </c>
      <c r="DH414" t="s">
        <v>3</v>
      </c>
      <c r="DI414" t="s">
        <v>3</v>
      </c>
      <c r="DJ414" t="s">
        <v>3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1013</v>
      </c>
      <c r="DV414" t="s">
        <v>37</v>
      </c>
      <c r="DW414" t="s">
        <v>37</v>
      </c>
      <c r="DX414">
        <v>1</v>
      </c>
      <c r="EE414">
        <v>48752153</v>
      </c>
      <c r="EF414">
        <v>10</v>
      </c>
      <c r="EG414" t="s">
        <v>46</v>
      </c>
      <c r="EH414">
        <v>0</v>
      </c>
      <c r="EI414" t="s">
        <v>3</v>
      </c>
      <c r="EJ414">
        <v>1</v>
      </c>
      <c r="EK414">
        <v>700001</v>
      </c>
      <c r="EL414" t="s">
        <v>47</v>
      </c>
      <c r="EM414" t="s">
        <v>48</v>
      </c>
      <c r="EO414" t="s">
        <v>3</v>
      </c>
      <c r="EQ414">
        <v>131072</v>
      </c>
      <c r="ER414">
        <v>6.65</v>
      </c>
      <c r="ES414">
        <v>0</v>
      </c>
      <c r="ET414">
        <v>6.65</v>
      </c>
      <c r="EU414">
        <v>0</v>
      </c>
      <c r="EV414">
        <v>0</v>
      </c>
      <c r="EW414">
        <v>0</v>
      </c>
      <c r="EX414">
        <v>0</v>
      </c>
      <c r="EY414">
        <v>0</v>
      </c>
      <c r="FQ414">
        <v>0</v>
      </c>
      <c r="FR414">
        <f t="shared" si="308"/>
        <v>0</v>
      </c>
      <c r="FS414">
        <v>0</v>
      </c>
      <c r="FX414">
        <v>0</v>
      </c>
      <c r="FY414">
        <v>0</v>
      </c>
      <c r="GA414" t="s">
        <v>3</v>
      </c>
      <c r="GD414">
        <v>1</v>
      </c>
      <c r="GF414">
        <v>-811322024</v>
      </c>
      <c r="GG414">
        <v>2</v>
      </c>
      <c r="GH414">
        <v>0</v>
      </c>
      <c r="GI414">
        <v>0</v>
      </c>
      <c r="GJ414">
        <v>0</v>
      </c>
      <c r="GK414">
        <v>0</v>
      </c>
      <c r="GL414">
        <f t="shared" si="309"/>
        <v>0</v>
      </c>
      <c r="GM414">
        <f t="shared" si="310"/>
        <v>103</v>
      </c>
      <c r="GN414">
        <f t="shared" si="311"/>
        <v>103</v>
      </c>
      <c r="GO414">
        <f t="shared" si="312"/>
        <v>0</v>
      </c>
      <c r="GP414">
        <f t="shared" si="313"/>
        <v>0</v>
      </c>
      <c r="GR414">
        <v>0</v>
      </c>
      <c r="GS414">
        <v>0</v>
      </c>
      <c r="GT414">
        <v>0</v>
      </c>
      <c r="GU414" t="s">
        <v>3</v>
      </c>
      <c r="GV414">
        <f t="shared" si="314"/>
        <v>0</v>
      </c>
      <c r="GW414">
        <v>1</v>
      </c>
      <c r="GX414">
        <f t="shared" si="315"/>
        <v>0</v>
      </c>
      <c r="HA414">
        <v>0</v>
      </c>
      <c r="HB414">
        <v>0</v>
      </c>
      <c r="HC414">
        <f t="shared" si="316"/>
        <v>0</v>
      </c>
      <c r="HD414">
        <f>GM414</f>
        <v>103</v>
      </c>
      <c r="IK414">
        <v>0</v>
      </c>
    </row>
    <row r="415" spans="1:245" x14ac:dyDescent="0.2">
      <c r="A415">
        <v>17</v>
      </c>
      <c r="B415">
        <v>1</v>
      </c>
      <c r="C415">
        <f>ROW(SmtRes!A206)</f>
        <v>206</v>
      </c>
      <c r="D415">
        <f>ROW(EtalonRes!A202)</f>
        <v>202</v>
      </c>
      <c r="E415" t="s">
        <v>327</v>
      </c>
      <c r="F415" t="s">
        <v>328</v>
      </c>
      <c r="G415" t="s">
        <v>329</v>
      </c>
      <c r="H415" t="s">
        <v>296</v>
      </c>
      <c r="I415">
        <v>2.4E-2</v>
      </c>
      <c r="J415">
        <v>0</v>
      </c>
      <c r="O415">
        <f t="shared" si="281"/>
        <v>1366</v>
      </c>
      <c r="P415">
        <f t="shared" si="282"/>
        <v>1291</v>
      </c>
      <c r="Q415">
        <f t="shared" si="283"/>
        <v>53</v>
      </c>
      <c r="R415">
        <f t="shared" si="284"/>
        <v>8</v>
      </c>
      <c r="S415">
        <f t="shared" si="285"/>
        <v>22</v>
      </c>
      <c r="T415">
        <f t="shared" si="286"/>
        <v>0</v>
      </c>
      <c r="U415">
        <f t="shared" si="287"/>
        <v>3.2242319999999998</v>
      </c>
      <c r="V415">
        <f t="shared" si="288"/>
        <v>0.58320000000000005</v>
      </c>
      <c r="W415">
        <f t="shared" si="289"/>
        <v>0</v>
      </c>
      <c r="X415">
        <f t="shared" si="290"/>
        <v>32</v>
      </c>
      <c r="Y415">
        <f t="shared" si="291"/>
        <v>17</v>
      </c>
      <c r="AA415">
        <v>50210945</v>
      </c>
      <c r="AB415">
        <f t="shared" si="292"/>
        <v>56905.8</v>
      </c>
      <c r="AC415">
        <f t="shared" si="293"/>
        <v>53771.8</v>
      </c>
      <c r="AD415">
        <f>ROUND(((((ET415*1.25))-((EU415*1.25)))+AE415),1)</f>
        <v>2201.6999999999998</v>
      </c>
      <c r="AE415">
        <f>ROUND(((EU415*1.25)),1)</f>
        <v>321</v>
      </c>
      <c r="AF415">
        <f>ROUND(((EV415*1.15)),1)</f>
        <v>932.3</v>
      </c>
      <c r="AG415">
        <f t="shared" si="294"/>
        <v>0</v>
      </c>
      <c r="AH415">
        <f>((EW415*1.15))</f>
        <v>134.34299999999999</v>
      </c>
      <c r="AI415">
        <f>((EX415*1.25))</f>
        <v>24.3</v>
      </c>
      <c r="AJ415">
        <f t="shared" si="296"/>
        <v>0</v>
      </c>
      <c r="AK415">
        <v>56343.81</v>
      </c>
      <c r="AL415">
        <v>53771.75</v>
      </c>
      <c r="AM415">
        <v>1761.33</v>
      </c>
      <c r="AN415">
        <v>256.8</v>
      </c>
      <c r="AO415">
        <v>810.73</v>
      </c>
      <c r="AP415">
        <v>0</v>
      </c>
      <c r="AQ415">
        <v>116.82</v>
      </c>
      <c r="AR415">
        <v>19.440000000000001</v>
      </c>
      <c r="AS415">
        <v>0</v>
      </c>
      <c r="AT415">
        <v>105</v>
      </c>
      <c r="AU415">
        <v>55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1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1</v>
      </c>
      <c r="BJ415" t="s">
        <v>330</v>
      </c>
      <c r="BM415">
        <v>6001</v>
      </c>
      <c r="BN415">
        <v>0</v>
      </c>
      <c r="BO415" t="s">
        <v>3</v>
      </c>
      <c r="BP415">
        <v>0</v>
      </c>
      <c r="BQ415">
        <v>2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105</v>
      </c>
      <c r="CA415">
        <v>65</v>
      </c>
      <c r="CE415">
        <v>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297"/>
        <v>1366</v>
      </c>
      <c r="CQ415">
        <f t="shared" si="298"/>
        <v>53771.8</v>
      </c>
      <c r="CR415">
        <f t="shared" si="299"/>
        <v>2201.6999999999998</v>
      </c>
      <c r="CS415">
        <f t="shared" si="300"/>
        <v>321</v>
      </c>
      <c r="CT415">
        <f t="shared" si="301"/>
        <v>932.3</v>
      </c>
      <c r="CU415">
        <f t="shared" si="302"/>
        <v>0</v>
      </c>
      <c r="CV415">
        <f t="shared" si="303"/>
        <v>134.34299999999999</v>
      </c>
      <c r="CW415">
        <f t="shared" si="304"/>
        <v>24.3</v>
      </c>
      <c r="CX415">
        <f t="shared" si="305"/>
        <v>0</v>
      </c>
      <c r="CY415">
        <f t="shared" si="306"/>
        <v>31.5</v>
      </c>
      <c r="CZ415">
        <f t="shared" si="307"/>
        <v>16.5</v>
      </c>
      <c r="DC415" t="s">
        <v>3</v>
      </c>
      <c r="DD415" t="s">
        <v>3</v>
      </c>
      <c r="DE415" t="s">
        <v>61</v>
      </c>
      <c r="DF415" t="s">
        <v>61</v>
      </c>
      <c r="DG415" t="s">
        <v>62</v>
      </c>
      <c r="DH415" t="s">
        <v>3</v>
      </c>
      <c r="DI415" t="s">
        <v>62</v>
      </c>
      <c r="DJ415" t="s">
        <v>61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1013</v>
      </c>
      <c r="DV415" t="s">
        <v>296</v>
      </c>
      <c r="DW415" t="s">
        <v>296</v>
      </c>
      <c r="DX415">
        <v>1</v>
      </c>
      <c r="EE415">
        <v>48752202</v>
      </c>
      <c r="EF415">
        <v>2</v>
      </c>
      <c r="EG415" t="s">
        <v>30</v>
      </c>
      <c r="EH415">
        <v>0</v>
      </c>
      <c r="EI415" t="s">
        <v>3</v>
      </c>
      <c r="EJ415">
        <v>1</v>
      </c>
      <c r="EK415">
        <v>6001</v>
      </c>
      <c r="EL415" t="s">
        <v>298</v>
      </c>
      <c r="EM415" t="s">
        <v>299</v>
      </c>
      <c r="EO415" t="s">
        <v>3</v>
      </c>
      <c r="EQ415">
        <v>131072</v>
      </c>
      <c r="ER415">
        <v>56343.81</v>
      </c>
      <c r="ES415">
        <v>53771.75</v>
      </c>
      <c r="ET415">
        <v>1761.33</v>
      </c>
      <c r="EU415">
        <v>256.8</v>
      </c>
      <c r="EV415">
        <v>810.73</v>
      </c>
      <c r="EW415">
        <v>116.82</v>
      </c>
      <c r="EX415">
        <v>19.440000000000001</v>
      </c>
      <c r="EY415">
        <v>0</v>
      </c>
      <c r="FQ415">
        <v>0</v>
      </c>
      <c r="FR415">
        <f t="shared" si="308"/>
        <v>0</v>
      </c>
      <c r="FS415">
        <v>0</v>
      </c>
      <c r="FU415" t="s">
        <v>33</v>
      </c>
      <c r="FX415">
        <v>105</v>
      </c>
      <c r="FY415">
        <v>55.25</v>
      </c>
      <c r="GA415" t="s">
        <v>3</v>
      </c>
      <c r="GD415">
        <v>1</v>
      </c>
      <c r="GF415">
        <v>-577622051</v>
      </c>
      <c r="GG415">
        <v>2</v>
      </c>
      <c r="GH415">
        <v>0</v>
      </c>
      <c r="GI415">
        <v>0</v>
      </c>
      <c r="GJ415">
        <v>0</v>
      </c>
      <c r="GK415">
        <v>0</v>
      </c>
      <c r="GL415">
        <f t="shared" si="309"/>
        <v>0</v>
      </c>
      <c r="GM415">
        <f t="shared" si="310"/>
        <v>1415</v>
      </c>
      <c r="GN415">
        <f t="shared" si="311"/>
        <v>1415</v>
      </c>
      <c r="GO415">
        <f t="shared" si="312"/>
        <v>0</v>
      </c>
      <c r="GP415">
        <f t="shared" si="313"/>
        <v>0</v>
      </c>
      <c r="GR415">
        <v>0</v>
      </c>
      <c r="GS415">
        <v>0</v>
      </c>
      <c r="GT415">
        <v>0</v>
      </c>
      <c r="GU415" t="s">
        <v>3</v>
      </c>
      <c r="GV415">
        <f t="shared" si="314"/>
        <v>0</v>
      </c>
      <c r="GW415">
        <v>1</v>
      </c>
      <c r="GX415">
        <f t="shared" si="315"/>
        <v>0</v>
      </c>
      <c r="HA415">
        <v>0</v>
      </c>
      <c r="HB415">
        <v>0</v>
      </c>
      <c r="HC415">
        <f t="shared" si="316"/>
        <v>0</v>
      </c>
      <c r="IK415">
        <v>0</v>
      </c>
    </row>
    <row r="416" spans="1:245" x14ac:dyDescent="0.2">
      <c r="A416">
        <v>17</v>
      </c>
      <c r="B416">
        <v>1</v>
      </c>
      <c r="C416">
        <f>ROW(SmtRes!A212)</f>
        <v>212</v>
      </c>
      <c r="D416">
        <f>ROW(EtalonRes!A208)</f>
        <v>208</v>
      </c>
      <c r="E416" t="s">
        <v>331</v>
      </c>
      <c r="F416" t="s">
        <v>332</v>
      </c>
      <c r="G416" t="s">
        <v>333</v>
      </c>
      <c r="H416" t="s">
        <v>168</v>
      </c>
      <c r="I416">
        <v>0.04</v>
      </c>
      <c r="J416">
        <v>0</v>
      </c>
      <c r="O416">
        <f t="shared" si="281"/>
        <v>227</v>
      </c>
      <c r="P416">
        <f t="shared" si="282"/>
        <v>221</v>
      </c>
      <c r="Q416">
        <f t="shared" si="283"/>
        <v>2</v>
      </c>
      <c r="R416">
        <f t="shared" si="284"/>
        <v>0</v>
      </c>
      <c r="S416">
        <f t="shared" si="285"/>
        <v>4</v>
      </c>
      <c r="T416">
        <f t="shared" si="286"/>
        <v>0</v>
      </c>
      <c r="U416">
        <f t="shared" si="287"/>
        <v>0.58143999999999996</v>
      </c>
      <c r="V416">
        <f t="shared" si="288"/>
        <v>8.0000000000000002E-3</v>
      </c>
      <c r="W416">
        <f t="shared" si="289"/>
        <v>0</v>
      </c>
      <c r="X416">
        <f t="shared" si="290"/>
        <v>4</v>
      </c>
      <c r="Y416">
        <f t="shared" si="291"/>
        <v>2</v>
      </c>
      <c r="AA416">
        <v>50210945</v>
      </c>
      <c r="AB416">
        <f t="shared" si="292"/>
        <v>5682.2</v>
      </c>
      <c r="AC416">
        <f t="shared" si="293"/>
        <v>5531.2</v>
      </c>
      <c r="AD416">
        <f>ROUND(((((ET416*1.25))-((EU416*1.25)))+AE416),1)</f>
        <v>46.2</v>
      </c>
      <c r="AE416">
        <f>ROUND(((EU416*1.25)),1)</f>
        <v>2.7</v>
      </c>
      <c r="AF416">
        <f>ROUND(((EV416*1.15)),1)</f>
        <v>104.8</v>
      </c>
      <c r="AG416">
        <f t="shared" si="294"/>
        <v>0</v>
      </c>
      <c r="AH416">
        <f>((EW416*1.15))</f>
        <v>14.536</v>
      </c>
      <c r="AI416">
        <f>((EX416*1.25))</f>
        <v>0.2</v>
      </c>
      <c r="AJ416">
        <f t="shared" si="296"/>
        <v>0</v>
      </c>
      <c r="AK416">
        <v>5659.22</v>
      </c>
      <c r="AL416">
        <v>5531.17</v>
      </c>
      <c r="AM416">
        <v>36.92</v>
      </c>
      <c r="AN416">
        <v>2.12</v>
      </c>
      <c r="AO416">
        <v>91.13</v>
      </c>
      <c r="AP416">
        <v>0</v>
      </c>
      <c r="AQ416">
        <v>12.64</v>
      </c>
      <c r="AR416">
        <v>0.16</v>
      </c>
      <c r="AS416">
        <v>0</v>
      </c>
      <c r="AT416">
        <v>105</v>
      </c>
      <c r="AU416">
        <v>55</v>
      </c>
      <c r="AV416">
        <v>1</v>
      </c>
      <c r="AW416">
        <v>1</v>
      </c>
      <c r="AZ416">
        <v>1</v>
      </c>
      <c r="BA416">
        <v>1</v>
      </c>
      <c r="BB416">
        <v>1</v>
      </c>
      <c r="BC416">
        <v>1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1</v>
      </c>
      <c r="BJ416" t="s">
        <v>334</v>
      </c>
      <c r="BM416">
        <v>6001</v>
      </c>
      <c r="BN416">
        <v>0</v>
      </c>
      <c r="BO416" t="s">
        <v>3</v>
      </c>
      <c r="BP416">
        <v>0</v>
      </c>
      <c r="BQ416">
        <v>2</v>
      </c>
      <c r="BR416">
        <v>0</v>
      </c>
      <c r="BS416">
        <v>1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105</v>
      </c>
      <c r="CA416">
        <v>65</v>
      </c>
      <c r="CE416">
        <v>0</v>
      </c>
      <c r="CF416">
        <v>0</v>
      </c>
      <c r="CG416">
        <v>0</v>
      </c>
      <c r="CM416">
        <v>0</v>
      </c>
      <c r="CN416" t="s">
        <v>3</v>
      </c>
      <c r="CO416">
        <v>0</v>
      </c>
      <c r="CP416">
        <f t="shared" si="297"/>
        <v>227</v>
      </c>
      <c r="CQ416">
        <f t="shared" si="298"/>
        <v>5531.2</v>
      </c>
      <c r="CR416">
        <f t="shared" si="299"/>
        <v>46.2</v>
      </c>
      <c r="CS416">
        <f t="shared" si="300"/>
        <v>2.7</v>
      </c>
      <c r="CT416">
        <f t="shared" si="301"/>
        <v>104.8</v>
      </c>
      <c r="CU416">
        <f t="shared" si="302"/>
        <v>0</v>
      </c>
      <c r="CV416">
        <f t="shared" si="303"/>
        <v>14.536</v>
      </c>
      <c r="CW416">
        <f t="shared" si="304"/>
        <v>0.2</v>
      </c>
      <c r="CX416">
        <f t="shared" si="305"/>
        <v>0</v>
      </c>
      <c r="CY416">
        <f t="shared" si="306"/>
        <v>4.2</v>
      </c>
      <c r="CZ416">
        <f t="shared" si="307"/>
        <v>2.2000000000000002</v>
      </c>
      <c r="DC416" t="s">
        <v>3</v>
      </c>
      <c r="DD416" t="s">
        <v>3</v>
      </c>
      <c r="DE416" t="s">
        <v>11</v>
      </c>
      <c r="DF416" t="s">
        <v>11</v>
      </c>
      <c r="DG416" t="s">
        <v>12</v>
      </c>
      <c r="DH416" t="s">
        <v>3</v>
      </c>
      <c r="DI416" t="s">
        <v>12</v>
      </c>
      <c r="DJ416" t="s">
        <v>11</v>
      </c>
      <c r="DK416" t="s">
        <v>3</v>
      </c>
      <c r="DL416" t="s">
        <v>3</v>
      </c>
      <c r="DM416" t="s">
        <v>3</v>
      </c>
      <c r="DN416">
        <v>0</v>
      </c>
      <c r="DO416">
        <v>0</v>
      </c>
      <c r="DP416">
        <v>1</v>
      </c>
      <c r="DQ416">
        <v>1</v>
      </c>
      <c r="DU416">
        <v>1013</v>
      </c>
      <c r="DV416" t="s">
        <v>168</v>
      </c>
      <c r="DW416" t="s">
        <v>168</v>
      </c>
      <c r="DX416">
        <v>1</v>
      </c>
      <c r="EE416">
        <v>48752202</v>
      </c>
      <c r="EF416">
        <v>2</v>
      </c>
      <c r="EG416" t="s">
        <v>30</v>
      </c>
      <c r="EH416">
        <v>0</v>
      </c>
      <c r="EI416" t="s">
        <v>3</v>
      </c>
      <c r="EJ416">
        <v>1</v>
      </c>
      <c r="EK416">
        <v>6001</v>
      </c>
      <c r="EL416" t="s">
        <v>298</v>
      </c>
      <c r="EM416" t="s">
        <v>299</v>
      </c>
      <c r="EO416" t="s">
        <v>3</v>
      </c>
      <c r="EQ416">
        <v>131072</v>
      </c>
      <c r="ER416">
        <v>5659.22</v>
      </c>
      <c r="ES416">
        <v>5531.17</v>
      </c>
      <c r="ET416">
        <v>36.92</v>
      </c>
      <c r="EU416">
        <v>2.12</v>
      </c>
      <c r="EV416">
        <v>91.13</v>
      </c>
      <c r="EW416">
        <v>12.64</v>
      </c>
      <c r="EX416">
        <v>0.16</v>
      </c>
      <c r="EY416">
        <v>0</v>
      </c>
      <c r="FQ416">
        <v>0</v>
      </c>
      <c r="FR416">
        <f t="shared" si="308"/>
        <v>0</v>
      </c>
      <c r="FS416">
        <v>0</v>
      </c>
      <c r="FU416" t="s">
        <v>33</v>
      </c>
      <c r="FX416">
        <v>105</v>
      </c>
      <c r="FY416">
        <v>55.25</v>
      </c>
      <c r="GA416" t="s">
        <v>3</v>
      </c>
      <c r="GD416">
        <v>1</v>
      </c>
      <c r="GF416">
        <v>-345151644</v>
      </c>
      <c r="GG416">
        <v>2</v>
      </c>
      <c r="GH416">
        <v>0</v>
      </c>
      <c r="GI416">
        <v>0</v>
      </c>
      <c r="GJ416">
        <v>0</v>
      </c>
      <c r="GK416">
        <v>0</v>
      </c>
      <c r="GL416">
        <f t="shared" si="309"/>
        <v>0</v>
      </c>
      <c r="GM416">
        <f t="shared" si="310"/>
        <v>233</v>
      </c>
      <c r="GN416">
        <f t="shared" si="311"/>
        <v>233</v>
      </c>
      <c r="GO416">
        <f t="shared" si="312"/>
        <v>0</v>
      </c>
      <c r="GP416">
        <f t="shared" si="313"/>
        <v>0</v>
      </c>
      <c r="GR416">
        <v>0</v>
      </c>
      <c r="GS416">
        <v>0</v>
      </c>
      <c r="GT416">
        <v>0</v>
      </c>
      <c r="GU416" t="s">
        <v>3</v>
      </c>
      <c r="GV416">
        <f t="shared" si="314"/>
        <v>0</v>
      </c>
      <c r="GW416">
        <v>1</v>
      </c>
      <c r="GX416">
        <f t="shared" si="315"/>
        <v>0</v>
      </c>
      <c r="HA416">
        <v>0</v>
      </c>
      <c r="HB416">
        <v>0</v>
      </c>
      <c r="HC416">
        <f t="shared" si="316"/>
        <v>0</v>
      </c>
      <c r="IK416">
        <v>0</v>
      </c>
    </row>
    <row r="417" spans="1:245" x14ac:dyDescent="0.2">
      <c r="A417">
        <v>17</v>
      </c>
      <c r="B417">
        <v>1</v>
      </c>
      <c r="C417">
        <f>ROW(SmtRes!A220)</f>
        <v>220</v>
      </c>
      <c r="D417">
        <f>ROW(EtalonRes!A216)</f>
        <v>216</v>
      </c>
      <c r="E417" t="s">
        <v>335</v>
      </c>
      <c r="F417" t="s">
        <v>336</v>
      </c>
      <c r="G417" t="s">
        <v>337</v>
      </c>
      <c r="H417" t="s">
        <v>338</v>
      </c>
      <c r="I417">
        <f>ROUND(16/100,4)</f>
        <v>0.16</v>
      </c>
      <c r="J417">
        <v>0</v>
      </c>
      <c r="O417">
        <f t="shared" si="281"/>
        <v>294</v>
      </c>
      <c r="P417">
        <f t="shared" si="282"/>
        <v>0</v>
      </c>
      <c r="Q417">
        <f t="shared" si="283"/>
        <v>238</v>
      </c>
      <c r="R417">
        <f t="shared" si="284"/>
        <v>64</v>
      </c>
      <c r="S417">
        <f t="shared" si="285"/>
        <v>56</v>
      </c>
      <c r="T417">
        <f t="shared" si="286"/>
        <v>0</v>
      </c>
      <c r="U417">
        <f t="shared" si="287"/>
        <v>8.1051999999999982</v>
      </c>
      <c r="V417">
        <f t="shared" si="288"/>
        <v>5.64</v>
      </c>
      <c r="W417">
        <f t="shared" si="289"/>
        <v>0</v>
      </c>
      <c r="X417">
        <f t="shared" si="290"/>
        <v>108</v>
      </c>
      <c r="Y417">
        <f t="shared" si="291"/>
        <v>86</v>
      </c>
      <c r="AA417">
        <v>50210945</v>
      </c>
      <c r="AB417">
        <f t="shared" si="292"/>
        <v>1836.5</v>
      </c>
      <c r="AC417">
        <f t="shared" si="293"/>
        <v>0</v>
      </c>
      <c r="AD417">
        <f>ROUND(((((ET417*1.25))-((EU417*1.25)))+AE417),1)</f>
        <v>1484.9</v>
      </c>
      <c r="AE417">
        <f>ROUND(((EU417*1.25)),1)</f>
        <v>401.2</v>
      </c>
      <c r="AF417">
        <f>ROUND(((EV417*1.15)),1)</f>
        <v>351.6</v>
      </c>
      <c r="AG417">
        <f t="shared" si="294"/>
        <v>0</v>
      </c>
      <c r="AH417">
        <f>((EW417*1.15))</f>
        <v>50.657499999999992</v>
      </c>
      <c r="AI417">
        <f>((EX417*1.25))</f>
        <v>35.25</v>
      </c>
      <c r="AJ417">
        <f t="shared" si="296"/>
        <v>0</v>
      </c>
      <c r="AK417">
        <v>1493.55</v>
      </c>
      <c r="AL417">
        <v>0</v>
      </c>
      <c r="AM417">
        <v>1187.8399999999999</v>
      </c>
      <c r="AN417">
        <v>320.92</v>
      </c>
      <c r="AO417">
        <v>305.70999999999998</v>
      </c>
      <c r="AP417">
        <v>0</v>
      </c>
      <c r="AQ417">
        <v>44.05</v>
      </c>
      <c r="AR417">
        <v>28.2</v>
      </c>
      <c r="AS417">
        <v>0</v>
      </c>
      <c r="AT417">
        <v>90</v>
      </c>
      <c r="AU417">
        <v>72</v>
      </c>
      <c r="AV417">
        <v>1</v>
      </c>
      <c r="AW417">
        <v>1</v>
      </c>
      <c r="AZ417">
        <v>1</v>
      </c>
      <c r="BA417">
        <v>1</v>
      </c>
      <c r="BB417">
        <v>1</v>
      </c>
      <c r="BC417">
        <v>1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1</v>
      </c>
      <c r="BJ417" t="s">
        <v>339</v>
      </c>
      <c r="BM417">
        <v>9001</v>
      </c>
      <c r="BN417">
        <v>0</v>
      </c>
      <c r="BO417" t="s">
        <v>3</v>
      </c>
      <c r="BP417">
        <v>0</v>
      </c>
      <c r="BQ417">
        <v>2</v>
      </c>
      <c r="BR417">
        <v>0</v>
      </c>
      <c r="BS417">
        <v>1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90</v>
      </c>
      <c r="CA417">
        <v>85</v>
      </c>
      <c r="CE417">
        <v>0</v>
      </c>
      <c r="CF417">
        <v>0</v>
      </c>
      <c r="CG417">
        <v>0</v>
      </c>
      <c r="CM417">
        <v>0</v>
      </c>
      <c r="CN417" t="s">
        <v>3</v>
      </c>
      <c r="CO417">
        <v>0</v>
      </c>
      <c r="CP417">
        <f t="shared" si="297"/>
        <v>294</v>
      </c>
      <c r="CQ417">
        <f t="shared" si="298"/>
        <v>0</v>
      </c>
      <c r="CR417">
        <f t="shared" si="299"/>
        <v>1484.9</v>
      </c>
      <c r="CS417">
        <f t="shared" si="300"/>
        <v>401.2</v>
      </c>
      <c r="CT417">
        <f t="shared" si="301"/>
        <v>351.6</v>
      </c>
      <c r="CU417">
        <f t="shared" si="302"/>
        <v>0</v>
      </c>
      <c r="CV417">
        <f t="shared" si="303"/>
        <v>50.657499999999992</v>
      </c>
      <c r="CW417">
        <f t="shared" si="304"/>
        <v>35.25</v>
      </c>
      <c r="CX417">
        <f t="shared" si="305"/>
        <v>0</v>
      </c>
      <c r="CY417">
        <f t="shared" si="306"/>
        <v>108</v>
      </c>
      <c r="CZ417">
        <f t="shared" si="307"/>
        <v>86.4</v>
      </c>
      <c r="DC417" t="s">
        <v>3</v>
      </c>
      <c r="DD417" t="s">
        <v>3</v>
      </c>
      <c r="DE417" t="s">
        <v>11</v>
      </c>
      <c r="DF417" t="s">
        <v>11</v>
      </c>
      <c r="DG417" t="s">
        <v>12</v>
      </c>
      <c r="DH417" t="s">
        <v>3</v>
      </c>
      <c r="DI417" t="s">
        <v>12</v>
      </c>
      <c r="DJ417" t="s">
        <v>11</v>
      </c>
      <c r="DK417" t="s">
        <v>3</v>
      </c>
      <c r="DL417" t="s">
        <v>3</v>
      </c>
      <c r="DM417" t="s">
        <v>3</v>
      </c>
      <c r="DN417">
        <v>0</v>
      </c>
      <c r="DO417">
        <v>0</v>
      </c>
      <c r="DP417">
        <v>1</v>
      </c>
      <c r="DQ417">
        <v>1</v>
      </c>
      <c r="DU417">
        <v>1013</v>
      </c>
      <c r="DV417" t="s">
        <v>338</v>
      </c>
      <c r="DW417" t="s">
        <v>338</v>
      </c>
      <c r="DX417">
        <v>1</v>
      </c>
      <c r="EE417">
        <v>48752214</v>
      </c>
      <c r="EF417">
        <v>2</v>
      </c>
      <c r="EG417" t="s">
        <v>30</v>
      </c>
      <c r="EH417">
        <v>0</v>
      </c>
      <c r="EI417" t="s">
        <v>3</v>
      </c>
      <c r="EJ417">
        <v>1</v>
      </c>
      <c r="EK417">
        <v>9001</v>
      </c>
      <c r="EL417" t="s">
        <v>340</v>
      </c>
      <c r="EM417" t="s">
        <v>341</v>
      </c>
      <c r="EO417" t="s">
        <v>3</v>
      </c>
      <c r="EQ417">
        <v>131072</v>
      </c>
      <c r="ER417">
        <v>1493.55</v>
      </c>
      <c r="ES417">
        <v>0</v>
      </c>
      <c r="ET417">
        <v>1187.8399999999999</v>
      </c>
      <c r="EU417">
        <v>320.92</v>
      </c>
      <c r="EV417">
        <v>305.70999999999998</v>
      </c>
      <c r="EW417">
        <v>44.05</v>
      </c>
      <c r="EX417">
        <v>28.2</v>
      </c>
      <c r="EY417">
        <v>0</v>
      </c>
      <c r="FQ417">
        <v>0</v>
      </c>
      <c r="FR417">
        <f t="shared" si="308"/>
        <v>0</v>
      </c>
      <c r="FS417">
        <v>0</v>
      </c>
      <c r="FU417" t="s">
        <v>33</v>
      </c>
      <c r="FX417">
        <v>90</v>
      </c>
      <c r="FY417">
        <v>72.25</v>
      </c>
      <c r="GA417" t="s">
        <v>3</v>
      </c>
      <c r="GD417">
        <v>1</v>
      </c>
      <c r="GF417">
        <v>632437705</v>
      </c>
      <c r="GG417">
        <v>2</v>
      </c>
      <c r="GH417">
        <v>0</v>
      </c>
      <c r="GI417">
        <v>0</v>
      </c>
      <c r="GJ417">
        <v>0</v>
      </c>
      <c r="GK417">
        <v>0</v>
      </c>
      <c r="GL417">
        <f t="shared" si="309"/>
        <v>0</v>
      </c>
      <c r="GM417">
        <f t="shared" si="310"/>
        <v>488</v>
      </c>
      <c r="GN417">
        <f t="shared" si="311"/>
        <v>488</v>
      </c>
      <c r="GO417">
        <f t="shared" si="312"/>
        <v>0</v>
      </c>
      <c r="GP417">
        <f t="shared" si="313"/>
        <v>0</v>
      </c>
      <c r="GR417">
        <v>0</v>
      </c>
      <c r="GS417">
        <v>0</v>
      </c>
      <c r="GT417">
        <v>0</v>
      </c>
      <c r="GU417" t="s">
        <v>3</v>
      </c>
      <c r="GV417">
        <f t="shared" si="314"/>
        <v>0</v>
      </c>
      <c r="GW417">
        <v>1</v>
      </c>
      <c r="GX417">
        <f t="shared" si="315"/>
        <v>0</v>
      </c>
      <c r="HA417">
        <v>0</v>
      </c>
      <c r="HB417">
        <v>0</v>
      </c>
      <c r="HC417">
        <f t="shared" si="316"/>
        <v>0</v>
      </c>
      <c r="IK417">
        <v>0</v>
      </c>
    </row>
    <row r="418" spans="1:245" x14ac:dyDescent="0.2">
      <c r="A418">
        <v>18</v>
      </c>
      <c r="B418">
        <v>1</v>
      </c>
      <c r="C418">
        <v>219</v>
      </c>
      <c r="E418" t="s">
        <v>342</v>
      </c>
      <c r="F418" t="s">
        <v>343</v>
      </c>
      <c r="G418" t="s">
        <v>344</v>
      </c>
      <c r="H418" t="s">
        <v>190</v>
      </c>
      <c r="I418">
        <f>I417*J418</f>
        <v>8.4799999999999997E-3</v>
      </c>
      <c r="J418">
        <v>5.2999999999999999E-2</v>
      </c>
      <c r="L418">
        <f>'Смета 11 граф c НР и СП'!G571</f>
        <v>10133</v>
      </c>
      <c r="O418">
        <f t="shared" si="281"/>
        <v>79</v>
      </c>
      <c r="P418">
        <f t="shared" si="282"/>
        <v>79</v>
      </c>
      <c r="Q418">
        <f t="shared" si="283"/>
        <v>0</v>
      </c>
      <c r="R418">
        <f t="shared" si="284"/>
        <v>0</v>
      </c>
      <c r="S418">
        <f t="shared" si="285"/>
        <v>0</v>
      </c>
      <c r="T418">
        <f t="shared" si="286"/>
        <v>0</v>
      </c>
      <c r="U418">
        <f t="shared" si="287"/>
        <v>0</v>
      </c>
      <c r="V418">
        <f t="shared" si="288"/>
        <v>0</v>
      </c>
      <c r="W418">
        <f t="shared" si="289"/>
        <v>0</v>
      </c>
      <c r="X418">
        <f t="shared" si="290"/>
        <v>0</v>
      </c>
      <c r="Y418">
        <f t="shared" si="291"/>
        <v>0</v>
      </c>
      <c r="AA418">
        <v>50210945</v>
      </c>
      <c r="AB418">
        <f t="shared" si="292"/>
        <v>9291.4</v>
      </c>
      <c r="AC418">
        <f t="shared" si="293"/>
        <v>9291.4</v>
      </c>
      <c r="AD418">
        <f>ROUND((((ET418)-(EU418))+AE418),1)</f>
        <v>0</v>
      </c>
      <c r="AE418">
        <f>ROUND((EU418),1)</f>
        <v>0</v>
      </c>
      <c r="AF418">
        <f>ROUND((EV418),1)</f>
        <v>0</v>
      </c>
      <c r="AG418">
        <f t="shared" si="294"/>
        <v>0</v>
      </c>
      <c r="AH418">
        <f>(EW418)</f>
        <v>0</v>
      </c>
      <c r="AI418">
        <f>(EX418)</f>
        <v>0</v>
      </c>
      <c r="AJ418">
        <f t="shared" si="296"/>
        <v>0</v>
      </c>
      <c r="AK418">
        <v>9291.35</v>
      </c>
      <c r="AL418">
        <v>9291.35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90</v>
      </c>
      <c r="AU418">
        <v>72</v>
      </c>
      <c r="AV418">
        <v>1</v>
      </c>
      <c r="AW418">
        <v>1</v>
      </c>
      <c r="AZ418">
        <v>1</v>
      </c>
      <c r="BA418">
        <v>1</v>
      </c>
      <c r="BB418">
        <v>1</v>
      </c>
      <c r="BC418">
        <v>1</v>
      </c>
      <c r="BD418" t="s">
        <v>3</v>
      </c>
      <c r="BE418" t="s">
        <v>3</v>
      </c>
      <c r="BF418" t="s">
        <v>3</v>
      </c>
      <c r="BG418" t="s">
        <v>3</v>
      </c>
      <c r="BH418">
        <v>3</v>
      </c>
      <c r="BI418">
        <v>1</v>
      </c>
      <c r="BJ418" t="s">
        <v>345</v>
      </c>
      <c r="BM418">
        <v>9001</v>
      </c>
      <c r="BN418">
        <v>0</v>
      </c>
      <c r="BO418" t="s">
        <v>3</v>
      </c>
      <c r="BP418">
        <v>0</v>
      </c>
      <c r="BQ418">
        <v>2</v>
      </c>
      <c r="BR418">
        <v>0</v>
      </c>
      <c r="BS418">
        <v>1</v>
      </c>
      <c r="BT418">
        <v>1</v>
      </c>
      <c r="BU418">
        <v>1</v>
      </c>
      <c r="BV418">
        <v>1</v>
      </c>
      <c r="BW418">
        <v>1</v>
      </c>
      <c r="BX418">
        <v>1</v>
      </c>
      <c r="BY418" t="s">
        <v>3</v>
      </c>
      <c r="BZ418">
        <v>90</v>
      </c>
      <c r="CA418">
        <v>85</v>
      </c>
      <c r="CE418">
        <v>0</v>
      </c>
      <c r="CF418">
        <v>0</v>
      </c>
      <c r="CG418">
        <v>0</v>
      </c>
      <c r="CM418">
        <v>0</v>
      </c>
      <c r="CN418" t="s">
        <v>3</v>
      </c>
      <c r="CO418">
        <v>0</v>
      </c>
      <c r="CP418">
        <f t="shared" si="297"/>
        <v>79</v>
      </c>
      <c r="CQ418">
        <f t="shared" si="298"/>
        <v>9291.4</v>
      </c>
      <c r="CR418">
        <f t="shared" si="299"/>
        <v>0</v>
      </c>
      <c r="CS418">
        <f t="shared" si="300"/>
        <v>0</v>
      </c>
      <c r="CT418">
        <f t="shared" si="301"/>
        <v>0</v>
      </c>
      <c r="CU418">
        <f t="shared" si="302"/>
        <v>0</v>
      </c>
      <c r="CV418">
        <f t="shared" si="303"/>
        <v>0</v>
      </c>
      <c r="CW418">
        <f t="shared" si="304"/>
        <v>0</v>
      </c>
      <c r="CX418">
        <f t="shared" si="305"/>
        <v>0</v>
      </c>
      <c r="CY418">
        <f t="shared" si="306"/>
        <v>0</v>
      </c>
      <c r="CZ418">
        <f t="shared" si="307"/>
        <v>0</v>
      </c>
      <c r="DC418" t="s">
        <v>3</v>
      </c>
      <c r="DD418" t="s">
        <v>3</v>
      </c>
      <c r="DE418" t="s">
        <v>3</v>
      </c>
      <c r="DF418" t="s">
        <v>3</v>
      </c>
      <c r="DG418" t="s">
        <v>3</v>
      </c>
      <c r="DH418" t="s">
        <v>3</v>
      </c>
      <c r="DI418" t="s">
        <v>3</v>
      </c>
      <c r="DJ418" t="s">
        <v>3</v>
      </c>
      <c r="DK418" t="s">
        <v>3</v>
      </c>
      <c r="DL418" t="s">
        <v>3</v>
      </c>
      <c r="DM418" t="s">
        <v>3</v>
      </c>
      <c r="DN418">
        <v>0</v>
      </c>
      <c r="DO418">
        <v>0</v>
      </c>
      <c r="DP418">
        <v>1</v>
      </c>
      <c r="DQ418">
        <v>1</v>
      </c>
      <c r="DU418">
        <v>1009</v>
      </c>
      <c r="DV418" t="s">
        <v>190</v>
      </c>
      <c r="DW418" t="s">
        <v>190</v>
      </c>
      <c r="DX418">
        <v>1000</v>
      </c>
      <c r="EE418">
        <v>48752214</v>
      </c>
      <c r="EF418">
        <v>2</v>
      </c>
      <c r="EG418" t="s">
        <v>30</v>
      </c>
      <c r="EH418">
        <v>0</v>
      </c>
      <c r="EI418" t="s">
        <v>3</v>
      </c>
      <c r="EJ418">
        <v>1</v>
      </c>
      <c r="EK418">
        <v>9001</v>
      </c>
      <c r="EL418" t="s">
        <v>340</v>
      </c>
      <c r="EM418" t="s">
        <v>341</v>
      </c>
      <c r="EO418" t="s">
        <v>3</v>
      </c>
      <c r="EQ418">
        <v>0</v>
      </c>
      <c r="ER418">
        <v>9291.35</v>
      </c>
      <c r="ES418">
        <v>9291.35</v>
      </c>
      <c r="ET418">
        <v>0</v>
      </c>
      <c r="EU418">
        <v>0</v>
      </c>
      <c r="EV418">
        <v>0</v>
      </c>
      <c r="EW418">
        <v>0</v>
      </c>
      <c r="EX418">
        <v>0</v>
      </c>
      <c r="FQ418">
        <v>0</v>
      </c>
      <c r="FR418">
        <f t="shared" si="308"/>
        <v>0</v>
      </c>
      <c r="FS418">
        <v>0</v>
      </c>
      <c r="FU418" t="s">
        <v>33</v>
      </c>
      <c r="FX418">
        <v>90</v>
      </c>
      <c r="FY418">
        <v>72.25</v>
      </c>
      <c r="GA418" t="s">
        <v>3</v>
      </c>
      <c r="GD418">
        <v>1</v>
      </c>
      <c r="GF418">
        <v>1866978246</v>
      </c>
      <c r="GG418">
        <v>2</v>
      </c>
      <c r="GH418">
        <v>0</v>
      </c>
      <c r="GI418">
        <v>0</v>
      </c>
      <c r="GJ418">
        <v>0</v>
      </c>
      <c r="GK418">
        <v>0</v>
      </c>
      <c r="GL418">
        <f t="shared" si="309"/>
        <v>0</v>
      </c>
      <c r="GM418">
        <f t="shared" si="310"/>
        <v>79</v>
      </c>
      <c r="GN418">
        <f t="shared" si="311"/>
        <v>79</v>
      </c>
      <c r="GO418">
        <f t="shared" si="312"/>
        <v>0</v>
      </c>
      <c r="GP418">
        <f t="shared" si="313"/>
        <v>0</v>
      </c>
      <c r="GR418">
        <v>0</v>
      </c>
      <c r="GS418">
        <v>0</v>
      </c>
      <c r="GT418">
        <v>0</v>
      </c>
      <c r="GU418" t="s">
        <v>3</v>
      </c>
      <c r="GV418">
        <f t="shared" si="314"/>
        <v>0</v>
      </c>
      <c r="GW418">
        <v>1</v>
      </c>
      <c r="GX418">
        <f t="shared" si="315"/>
        <v>0</v>
      </c>
      <c r="HA418">
        <v>0</v>
      </c>
      <c r="HB418">
        <v>0</v>
      </c>
      <c r="HC418">
        <f t="shared" si="316"/>
        <v>0</v>
      </c>
      <c r="IK418">
        <v>0</v>
      </c>
    </row>
    <row r="419" spans="1:245" x14ac:dyDescent="0.2">
      <c r="A419">
        <v>18</v>
      </c>
      <c r="B419">
        <v>1</v>
      </c>
      <c r="C419">
        <v>220</v>
      </c>
      <c r="E419" t="s">
        <v>346</v>
      </c>
      <c r="F419" t="s">
        <v>347</v>
      </c>
      <c r="G419" t="s">
        <v>348</v>
      </c>
      <c r="H419" t="s">
        <v>349</v>
      </c>
      <c r="I419">
        <f>I417*J419</f>
        <v>34.28</v>
      </c>
      <c r="J419">
        <v>214.25</v>
      </c>
      <c r="O419">
        <f t="shared" si="281"/>
        <v>888</v>
      </c>
      <c r="P419">
        <f t="shared" si="282"/>
        <v>888</v>
      </c>
      <c r="Q419">
        <f t="shared" si="283"/>
        <v>0</v>
      </c>
      <c r="R419">
        <f t="shared" si="284"/>
        <v>0</v>
      </c>
      <c r="S419">
        <f t="shared" si="285"/>
        <v>0</v>
      </c>
      <c r="T419">
        <f t="shared" si="286"/>
        <v>0</v>
      </c>
      <c r="U419">
        <f t="shared" si="287"/>
        <v>0</v>
      </c>
      <c r="V419">
        <f t="shared" si="288"/>
        <v>0</v>
      </c>
      <c r="W419">
        <f t="shared" si="289"/>
        <v>0</v>
      </c>
      <c r="X419">
        <f t="shared" si="290"/>
        <v>0</v>
      </c>
      <c r="Y419">
        <f t="shared" si="291"/>
        <v>0</v>
      </c>
      <c r="AA419">
        <v>50210945</v>
      </c>
      <c r="AB419">
        <f t="shared" si="292"/>
        <v>25.9</v>
      </c>
      <c r="AC419">
        <f t="shared" si="293"/>
        <v>25.9</v>
      </c>
      <c r="AD419">
        <f>ROUND((((ET419)-(EU419))+AE419),1)</f>
        <v>0</v>
      </c>
      <c r="AE419">
        <f>ROUND((EU419),1)</f>
        <v>0</v>
      </c>
      <c r="AF419">
        <f>ROUND((EV419),1)</f>
        <v>0</v>
      </c>
      <c r="AG419">
        <f t="shared" si="294"/>
        <v>0</v>
      </c>
      <c r="AH419">
        <f>(EW419)</f>
        <v>0</v>
      </c>
      <c r="AI419">
        <f>(EX419)</f>
        <v>0</v>
      </c>
      <c r="AJ419">
        <f t="shared" si="296"/>
        <v>0</v>
      </c>
      <c r="AK419">
        <v>25.88</v>
      </c>
      <c r="AL419">
        <v>25.88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90</v>
      </c>
      <c r="AU419">
        <v>72</v>
      </c>
      <c r="AV419">
        <v>1</v>
      </c>
      <c r="AW419">
        <v>1</v>
      </c>
      <c r="AZ419">
        <v>1</v>
      </c>
      <c r="BA419">
        <v>1</v>
      </c>
      <c r="BB419">
        <v>1</v>
      </c>
      <c r="BC419">
        <v>1</v>
      </c>
      <c r="BD419" t="s">
        <v>3</v>
      </c>
      <c r="BE419" t="s">
        <v>3</v>
      </c>
      <c r="BF419" t="s">
        <v>3</v>
      </c>
      <c r="BG419" t="s">
        <v>3</v>
      </c>
      <c r="BH419">
        <v>3</v>
      </c>
      <c r="BI419">
        <v>1</v>
      </c>
      <c r="BJ419" t="s">
        <v>350</v>
      </c>
      <c r="BM419">
        <v>9001</v>
      </c>
      <c r="BN419">
        <v>0</v>
      </c>
      <c r="BO419" t="s">
        <v>3</v>
      </c>
      <c r="BP419">
        <v>0</v>
      </c>
      <c r="BQ419">
        <v>2</v>
      </c>
      <c r="BR419">
        <v>0</v>
      </c>
      <c r="BS419">
        <v>1</v>
      </c>
      <c r="BT419">
        <v>1</v>
      </c>
      <c r="BU419">
        <v>1</v>
      </c>
      <c r="BV419">
        <v>1</v>
      </c>
      <c r="BW419">
        <v>1</v>
      </c>
      <c r="BX419">
        <v>1</v>
      </c>
      <c r="BY419" t="s">
        <v>3</v>
      </c>
      <c r="BZ419">
        <v>90</v>
      </c>
      <c r="CA419">
        <v>85</v>
      </c>
      <c r="CE419">
        <v>0</v>
      </c>
      <c r="CF419">
        <v>0</v>
      </c>
      <c r="CG419">
        <v>0</v>
      </c>
      <c r="CM419">
        <v>0</v>
      </c>
      <c r="CN419" t="s">
        <v>3</v>
      </c>
      <c r="CO419">
        <v>0</v>
      </c>
      <c r="CP419">
        <f t="shared" si="297"/>
        <v>888</v>
      </c>
      <c r="CQ419">
        <f t="shared" si="298"/>
        <v>25.9</v>
      </c>
      <c r="CR419">
        <f t="shared" si="299"/>
        <v>0</v>
      </c>
      <c r="CS419">
        <f t="shared" si="300"/>
        <v>0</v>
      </c>
      <c r="CT419">
        <f t="shared" si="301"/>
        <v>0</v>
      </c>
      <c r="CU419">
        <f t="shared" si="302"/>
        <v>0</v>
      </c>
      <c r="CV419">
        <f t="shared" si="303"/>
        <v>0</v>
      </c>
      <c r="CW419">
        <f t="shared" si="304"/>
        <v>0</v>
      </c>
      <c r="CX419">
        <f t="shared" si="305"/>
        <v>0</v>
      </c>
      <c r="CY419">
        <f t="shared" si="306"/>
        <v>0</v>
      </c>
      <c r="CZ419">
        <f t="shared" si="307"/>
        <v>0</v>
      </c>
      <c r="DC419" t="s">
        <v>3</v>
      </c>
      <c r="DD419" t="s">
        <v>3</v>
      </c>
      <c r="DE419" t="s">
        <v>3</v>
      </c>
      <c r="DF419" t="s">
        <v>3</v>
      </c>
      <c r="DG419" t="s">
        <v>3</v>
      </c>
      <c r="DH419" t="s">
        <v>3</v>
      </c>
      <c r="DI419" t="s">
        <v>3</v>
      </c>
      <c r="DJ419" t="s">
        <v>3</v>
      </c>
      <c r="DK419" t="s">
        <v>3</v>
      </c>
      <c r="DL419" t="s">
        <v>3</v>
      </c>
      <c r="DM419" t="s">
        <v>3</v>
      </c>
      <c r="DN419">
        <v>0</v>
      </c>
      <c r="DO419">
        <v>0</v>
      </c>
      <c r="DP419">
        <v>1</v>
      </c>
      <c r="DQ419">
        <v>1</v>
      </c>
      <c r="DU419">
        <v>1003</v>
      </c>
      <c r="DV419" t="s">
        <v>349</v>
      </c>
      <c r="DW419" t="s">
        <v>349</v>
      </c>
      <c r="DX419">
        <v>1</v>
      </c>
      <c r="EE419">
        <v>48752214</v>
      </c>
      <c r="EF419">
        <v>2</v>
      </c>
      <c r="EG419" t="s">
        <v>30</v>
      </c>
      <c r="EH419">
        <v>0</v>
      </c>
      <c r="EI419" t="s">
        <v>3</v>
      </c>
      <c r="EJ419">
        <v>1</v>
      </c>
      <c r="EK419">
        <v>9001</v>
      </c>
      <c r="EL419" t="s">
        <v>340</v>
      </c>
      <c r="EM419" t="s">
        <v>341</v>
      </c>
      <c r="EO419" t="s">
        <v>3</v>
      </c>
      <c r="EQ419">
        <v>0</v>
      </c>
      <c r="ER419">
        <v>25.88</v>
      </c>
      <c r="ES419">
        <v>25.88</v>
      </c>
      <c r="ET419">
        <v>0</v>
      </c>
      <c r="EU419">
        <v>0</v>
      </c>
      <c r="EV419">
        <v>0</v>
      </c>
      <c r="EW419">
        <v>0</v>
      </c>
      <c r="EX419">
        <v>0</v>
      </c>
      <c r="FQ419">
        <v>0</v>
      </c>
      <c r="FR419">
        <f t="shared" si="308"/>
        <v>0</v>
      </c>
      <c r="FS419">
        <v>0</v>
      </c>
      <c r="FU419" t="s">
        <v>33</v>
      </c>
      <c r="FX419">
        <v>90</v>
      </c>
      <c r="FY419">
        <v>72.25</v>
      </c>
      <c r="GA419" t="s">
        <v>3</v>
      </c>
      <c r="GD419">
        <v>1</v>
      </c>
      <c r="GF419">
        <v>878622785</v>
      </c>
      <c r="GG419">
        <v>2</v>
      </c>
      <c r="GH419">
        <v>0</v>
      </c>
      <c r="GI419">
        <v>0</v>
      </c>
      <c r="GJ419">
        <v>0</v>
      </c>
      <c r="GK419">
        <v>0</v>
      </c>
      <c r="GL419">
        <f t="shared" si="309"/>
        <v>0</v>
      </c>
      <c r="GM419">
        <f t="shared" si="310"/>
        <v>888</v>
      </c>
      <c r="GN419">
        <f t="shared" si="311"/>
        <v>888</v>
      </c>
      <c r="GO419">
        <f t="shared" si="312"/>
        <v>0</v>
      </c>
      <c r="GP419">
        <f t="shared" si="313"/>
        <v>0</v>
      </c>
      <c r="GR419">
        <v>0</v>
      </c>
      <c r="GS419">
        <v>0</v>
      </c>
      <c r="GT419">
        <v>0</v>
      </c>
      <c r="GU419" t="s">
        <v>3</v>
      </c>
      <c r="GV419">
        <f t="shared" si="314"/>
        <v>0</v>
      </c>
      <c r="GW419">
        <v>1</v>
      </c>
      <c r="GX419">
        <f t="shared" si="315"/>
        <v>0</v>
      </c>
      <c r="HA419">
        <v>0</v>
      </c>
      <c r="HB419">
        <v>0</v>
      </c>
      <c r="HC419">
        <f t="shared" si="316"/>
        <v>0</v>
      </c>
      <c r="IK419">
        <v>0</v>
      </c>
    </row>
    <row r="420" spans="1:245" x14ac:dyDescent="0.2">
      <c r="A420">
        <v>17</v>
      </c>
      <c r="B420">
        <v>1</v>
      </c>
      <c r="C420">
        <f>ROW(SmtRes!A228)</f>
        <v>228</v>
      </c>
      <c r="D420">
        <f>ROW(EtalonRes!A223)</f>
        <v>223</v>
      </c>
      <c r="E420" t="s">
        <v>351</v>
      </c>
      <c r="F420" t="s">
        <v>352</v>
      </c>
      <c r="G420" t="s">
        <v>353</v>
      </c>
      <c r="H420" t="s">
        <v>354</v>
      </c>
      <c r="I420">
        <f>ROUND(26/10,4)</f>
        <v>2.6</v>
      </c>
      <c r="J420">
        <v>0</v>
      </c>
      <c r="O420">
        <f t="shared" si="281"/>
        <v>221</v>
      </c>
      <c r="P420">
        <f t="shared" si="282"/>
        <v>0</v>
      </c>
      <c r="Q420">
        <f t="shared" si="283"/>
        <v>74</v>
      </c>
      <c r="R420">
        <f t="shared" si="284"/>
        <v>21</v>
      </c>
      <c r="S420">
        <f t="shared" si="285"/>
        <v>147</v>
      </c>
      <c r="T420">
        <f t="shared" si="286"/>
        <v>0</v>
      </c>
      <c r="U420">
        <f t="shared" si="287"/>
        <v>21.258899999999997</v>
      </c>
      <c r="V420">
        <f t="shared" si="288"/>
        <v>1.8524999999999998</v>
      </c>
      <c r="W420">
        <f t="shared" si="289"/>
        <v>0</v>
      </c>
      <c r="X420">
        <f t="shared" si="290"/>
        <v>151</v>
      </c>
      <c r="Y420">
        <f t="shared" si="291"/>
        <v>121</v>
      </c>
      <c r="AA420">
        <v>50210945</v>
      </c>
      <c r="AB420">
        <f t="shared" si="292"/>
        <v>85.1</v>
      </c>
      <c r="AC420">
        <f t="shared" si="293"/>
        <v>0</v>
      </c>
      <c r="AD420">
        <f>ROUND(((((ET420*1.25))-((EU420*1.25)))+AE420),1)</f>
        <v>28.4</v>
      </c>
      <c r="AE420">
        <f>ROUND(((EU420*1.25)),1)</f>
        <v>8.1</v>
      </c>
      <c r="AF420">
        <f>ROUND(((EV420*1.15)),1)</f>
        <v>56.7</v>
      </c>
      <c r="AG420">
        <f t="shared" si="294"/>
        <v>0</v>
      </c>
      <c r="AH420">
        <f>((EW420*1.15))</f>
        <v>8.176499999999999</v>
      </c>
      <c r="AI420">
        <f>((EX420*1.25))</f>
        <v>0.71249999999999991</v>
      </c>
      <c r="AJ420">
        <f t="shared" si="296"/>
        <v>0</v>
      </c>
      <c r="AK420">
        <v>72.040000000000006</v>
      </c>
      <c r="AL420">
        <v>0</v>
      </c>
      <c r="AM420">
        <v>22.7</v>
      </c>
      <c r="AN420">
        <v>6.49</v>
      </c>
      <c r="AO420">
        <v>49.34</v>
      </c>
      <c r="AP420">
        <v>0</v>
      </c>
      <c r="AQ420">
        <v>7.11</v>
      </c>
      <c r="AR420">
        <v>0.56999999999999995</v>
      </c>
      <c r="AS420">
        <v>0</v>
      </c>
      <c r="AT420">
        <v>90</v>
      </c>
      <c r="AU420">
        <v>72</v>
      </c>
      <c r="AV420">
        <v>1</v>
      </c>
      <c r="AW420">
        <v>1</v>
      </c>
      <c r="AZ420">
        <v>1</v>
      </c>
      <c r="BA420">
        <v>1</v>
      </c>
      <c r="BB420">
        <v>1</v>
      </c>
      <c r="BC420">
        <v>1</v>
      </c>
      <c r="BD420" t="s">
        <v>3</v>
      </c>
      <c r="BE420" t="s">
        <v>3</v>
      </c>
      <c r="BF420" t="s">
        <v>3</v>
      </c>
      <c r="BG420" t="s">
        <v>3</v>
      </c>
      <c r="BH420">
        <v>0</v>
      </c>
      <c r="BI420">
        <v>1</v>
      </c>
      <c r="BJ420" t="s">
        <v>355</v>
      </c>
      <c r="BM420">
        <v>9001</v>
      </c>
      <c r="BN420">
        <v>0</v>
      </c>
      <c r="BO420" t="s">
        <v>3</v>
      </c>
      <c r="BP420">
        <v>0</v>
      </c>
      <c r="BQ420">
        <v>2</v>
      </c>
      <c r="BR420">
        <v>0</v>
      </c>
      <c r="BS420">
        <v>1</v>
      </c>
      <c r="BT420">
        <v>1</v>
      </c>
      <c r="BU420">
        <v>1</v>
      </c>
      <c r="BV420">
        <v>1</v>
      </c>
      <c r="BW420">
        <v>1</v>
      </c>
      <c r="BX420">
        <v>1</v>
      </c>
      <c r="BY420" t="s">
        <v>3</v>
      </c>
      <c r="BZ420">
        <v>90</v>
      </c>
      <c r="CA420">
        <v>85</v>
      </c>
      <c r="CE420">
        <v>0</v>
      </c>
      <c r="CF420">
        <v>0</v>
      </c>
      <c r="CG420">
        <v>0</v>
      </c>
      <c r="CM420">
        <v>0</v>
      </c>
      <c r="CN420" t="s">
        <v>3</v>
      </c>
      <c r="CO420">
        <v>0</v>
      </c>
      <c r="CP420">
        <f t="shared" si="297"/>
        <v>221</v>
      </c>
      <c r="CQ420">
        <f t="shared" si="298"/>
        <v>0</v>
      </c>
      <c r="CR420">
        <f t="shared" si="299"/>
        <v>28.4</v>
      </c>
      <c r="CS420">
        <f t="shared" si="300"/>
        <v>8.1</v>
      </c>
      <c r="CT420">
        <f t="shared" si="301"/>
        <v>56.7</v>
      </c>
      <c r="CU420">
        <f t="shared" si="302"/>
        <v>0</v>
      </c>
      <c r="CV420">
        <f t="shared" si="303"/>
        <v>8.176499999999999</v>
      </c>
      <c r="CW420">
        <f t="shared" si="304"/>
        <v>0.71249999999999991</v>
      </c>
      <c r="CX420">
        <f t="shared" si="305"/>
        <v>0</v>
      </c>
      <c r="CY420">
        <f t="shared" si="306"/>
        <v>151.19999999999999</v>
      </c>
      <c r="CZ420">
        <f t="shared" si="307"/>
        <v>120.96</v>
      </c>
      <c r="DC420" t="s">
        <v>3</v>
      </c>
      <c r="DD420" t="s">
        <v>3</v>
      </c>
      <c r="DE420" t="s">
        <v>61</v>
      </c>
      <c r="DF420" t="s">
        <v>61</v>
      </c>
      <c r="DG420" t="s">
        <v>62</v>
      </c>
      <c r="DH420" t="s">
        <v>3</v>
      </c>
      <c r="DI420" t="s">
        <v>62</v>
      </c>
      <c r="DJ420" t="s">
        <v>61</v>
      </c>
      <c r="DK420" t="s">
        <v>3</v>
      </c>
      <c r="DL420" t="s">
        <v>3</v>
      </c>
      <c r="DM420" t="s">
        <v>3</v>
      </c>
      <c r="DN420">
        <v>0</v>
      </c>
      <c r="DO420">
        <v>0</v>
      </c>
      <c r="DP420">
        <v>1</v>
      </c>
      <c r="DQ420">
        <v>1</v>
      </c>
      <c r="DU420">
        <v>1013</v>
      </c>
      <c r="DV420" t="s">
        <v>354</v>
      </c>
      <c r="DW420" t="s">
        <v>354</v>
      </c>
      <c r="DX420">
        <v>1</v>
      </c>
      <c r="EE420">
        <v>48752214</v>
      </c>
      <c r="EF420">
        <v>2</v>
      </c>
      <c r="EG420" t="s">
        <v>30</v>
      </c>
      <c r="EH420">
        <v>0</v>
      </c>
      <c r="EI420" t="s">
        <v>3</v>
      </c>
      <c r="EJ420">
        <v>1</v>
      </c>
      <c r="EK420">
        <v>9001</v>
      </c>
      <c r="EL420" t="s">
        <v>340</v>
      </c>
      <c r="EM420" t="s">
        <v>341</v>
      </c>
      <c r="EO420" t="s">
        <v>3</v>
      </c>
      <c r="EQ420">
        <v>131072</v>
      </c>
      <c r="ER420">
        <v>72.040000000000006</v>
      </c>
      <c r="ES420">
        <v>0</v>
      </c>
      <c r="ET420">
        <v>22.7</v>
      </c>
      <c r="EU420">
        <v>6.49</v>
      </c>
      <c r="EV420">
        <v>49.34</v>
      </c>
      <c r="EW420">
        <v>7.11</v>
      </c>
      <c r="EX420">
        <v>0.56999999999999995</v>
      </c>
      <c r="EY420">
        <v>0</v>
      </c>
      <c r="FQ420">
        <v>0</v>
      </c>
      <c r="FR420">
        <f t="shared" si="308"/>
        <v>0</v>
      </c>
      <c r="FS420">
        <v>0</v>
      </c>
      <c r="FU420" t="s">
        <v>33</v>
      </c>
      <c r="FX420">
        <v>90</v>
      </c>
      <c r="FY420">
        <v>72.25</v>
      </c>
      <c r="GA420" t="s">
        <v>3</v>
      </c>
      <c r="GD420">
        <v>1</v>
      </c>
      <c r="GF420">
        <v>-68482533</v>
      </c>
      <c r="GG420">
        <v>2</v>
      </c>
      <c r="GH420">
        <v>0</v>
      </c>
      <c r="GI420">
        <v>0</v>
      </c>
      <c r="GJ420">
        <v>0</v>
      </c>
      <c r="GK420">
        <v>0</v>
      </c>
      <c r="GL420">
        <f t="shared" si="309"/>
        <v>0</v>
      </c>
      <c r="GM420">
        <f t="shared" si="310"/>
        <v>493</v>
      </c>
      <c r="GN420">
        <f t="shared" si="311"/>
        <v>493</v>
      </c>
      <c r="GO420">
        <f t="shared" si="312"/>
        <v>0</v>
      </c>
      <c r="GP420">
        <f t="shared" si="313"/>
        <v>0</v>
      </c>
      <c r="GR420">
        <v>0</v>
      </c>
      <c r="GS420">
        <v>0</v>
      </c>
      <c r="GT420">
        <v>0</v>
      </c>
      <c r="GU420" t="s">
        <v>3</v>
      </c>
      <c r="GV420">
        <f t="shared" si="314"/>
        <v>0</v>
      </c>
      <c r="GW420">
        <v>1</v>
      </c>
      <c r="GX420">
        <f t="shared" si="315"/>
        <v>0</v>
      </c>
      <c r="HA420">
        <v>0</v>
      </c>
      <c r="HB420">
        <v>0</v>
      </c>
      <c r="HC420">
        <f t="shared" si="316"/>
        <v>0</v>
      </c>
      <c r="IK420">
        <v>0</v>
      </c>
    </row>
    <row r="421" spans="1:245" x14ac:dyDescent="0.2">
      <c r="A421">
        <v>18</v>
      </c>
      <c r="B421">
        <v>1</v>
      </c>
      <c r="C421">
        <v>228</v>
      </c>
      <c r="E421" t="s">
        <v>356</v>
      </c>
      <c r="F421" t="s">
        <v>357</v>
      </c>
      <c r="G421" t="s">
        <v>358</v>
      </c>
      <c r="H421" t="s">
        <v>349</v>
      </c>
      <c r="I421">
        <f>I420*J421</f>
        <v>97.5</v>
      </c>
      <c r="J421">
        <v>37.5</v>
      </c>
      <c r="O421">
        <f t="shared" si="281"/>
        <v>1619</v>
      </c>
      <c r="P421">
        <f t="shared" si="282"/>
        <v>1619</v>
      </c>
      <c r="Q421">
        <f t="shared" si="283"/>
        <v>0</v>
      </c>
      <c r="R421">
        <f t="shared" si="284"/>
        <v>0</v>
      </c>
      <c r="S421">
        <f t="shared" si="285"/>
        <v>0</v>
      </c>
      <c r="T421">
        <f t="shared" si="286"/>
        <v>0</v>
      </c>
      <c r="U421">
        <f t="shared" si="287"/>
        <v>0</v>
      </c>
      <c r="V421">
        <f t="shared" si="288"/>
        <v>0</v>
      </c>
      <c r="W421">
        <f t="shared" si="289"/>
        <v>0</v>
      </c>
      <c r="X421">
        <f t="shared" si="290"/>
        <v>0</v>
      </c>
      <c r="Y421">
        <f t="shared" si="291"/>
        <v>0</v>
      </c>
      <c r="AA421">
        <v>50210945</v>
      </c>
      <c r="AB421">
        <f t="shared" si="292"/>
        <v>16.600000000000001</v>
      </c>
      <c r="AC421">
        <f t="shared" si="293"/>
        <v>16.600000000000001</v>
      </c>
      <c r="AD421">
        <f>ROUND((((ET421)-(EU421))+AE421),1)</f>
        <v>0</v>
      </c>
      <c r="AE421">
        <f t="shared" ref="AE421:AF423" si="317">ROUND((EU421),1)</f>
        <v>0</v>
      </c>
      <c r="AF421">
        <f t="shared" si="317"/>
        <v>0</v>
      </c>
      <c r="AG421">
        <f t="shared" si="294"/>
        <v>0</v>
      </c>
      <c r="AH421">
        <f t="shared" ref="AH421:AI423" si="318">(EW421)</f>
        <v>0</v>
      </c>
      <c r="AI421">
        <f t="shared" si="318"/>
        <v>0</v>
      </c>
      <c r="AJ421">
        <f t="shared" si="296"/>
        <v>0</v>
      </c>
      <c r="AK421">
        <v>16.579999999999998</v>
      </c>
      <c r="AL421">
        <v>16.579999999999998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90</v>
      </c>
      <c r="AU421">
        <v>72</v>
      </c>
      <c r="AV421">
        <v>1</v>
      </c>
      <c r="AW421">
        <v>1</v>
      </c>
      <c r="AZ421">
        <v>1</v>
      </c>
      <c r="BA421">
        <v>1</v>
      </c>
      <c r="BB421">
        <v>1</v>
      </c>
      <c r="BC421">
        <v>1</v>
      </c>
      <c r="BD421" t="s">
        <v>3</v>
      </c>
      <c r="BE421" t="s">
        <v>3</v>
      </c>
      <c r="BF421" t="s">
        <v>3</v>
      </c>
      <c r="BG421" t="s">
        <v>3</v>
      </c>
      <c r="BH421">
        <v>3</v>
      </c>
      <c r="BI421">
        <v>1</v>
      </c>
      <c r="BJ421" t="s">
        <v>359</v>
      </c>
      <c r="BM421">
        <v>9001</v>
      </c>
      <c r="BN421">
        <v>0</v>
      </c>
      <c r="BO421" t="s">
        <v>3</v>
      </c>
      <c r="BP421">
        <v>0</v>
      </c>
      <c r="BQ421">
        <v>2</v>
      </c>
      <c r="BR421">
        <v>0</v>
      </c>
      <c r="BS421">
        <v>1</v>
      </c>
      <c r="BT421">
        <v>1</v>
      </c>
      <c r="BU421">
        <v>1</v>
      </c>
      <c r="BV421">
        <v>1</v>
      </c>
      <c r="BW421">
        <v>1</v>
      </c>
      <c r="BX421">
        <v>1</v>
      </c>
      <c r="BY421" t="s">
        <v>3</v>
      </c>
      <c r="BZ421">
        <v>90</v>
      </c>
      <c r="CA421">
        <v>85</v>
      </c>
      <c r="CE421">
        <v>0</v>
      </c>
      <c r="CF421">
        <v>0</v>
      </c>
      <c r="CG421">
        <v>0</v>
      </c>
      <c r="CM421">
        <v>0</v>
      </c>
      <c r="CN421" t="s">
        <v>3</v>
      </c>
      <c r="CO421">
        <v>0</v>
      </c>
      <c r="CP421">
        <f t="shared" si="297"/>
        <v>1619</v>
      </c>
      <c r="CQ421">
        <f t="shared" si="298"/>
        <v>16.600000000000001</v>
      </c>
      <c r="CR421">
        <f t="shared" si="299"/>
        <v>0</v>
      </c>
      <c r="CS421">
        <f t="shared" si="300"/>
        <v>0</v>
      </c>
      <c r="CT421">
        <f t="shared" si="301"/>
        <v>0</v>
      </c>
      <c r="CU421">
        <f t="shared" si="302"/>
        <v>0</v>
      </c>
      <c r="CV421">
        <f t="shared" si="303"/>
        <v>0</v>
      </c>
      <c r="CW421">
        <f t="shared" si="304"/>
        <v>0</v>
      </c>
      <c r="CX421">
        <f t="shared" si="305"/>
        <v>0</v>
      </c>
      <c r="CY421">
        <f t="shared" si="306"/>
        <v>0</v>
      </c>
      <c r="CZ421">
        <f t="shared" si="307"/>
        <v>0</v>
      </c>
      <c r="DC421" t="s">
        <v>3</v>
      </c>
      <c r="DD421" t="s">
        <v>3</v>
      </c>
      <c r="DE421" t="s">
        <v>3</v>
      </c>
      <c r="DF421" t="s">
        <v>3</v>
      </c>
      <c r="DG421" t="s">
        <v>3</v>
      </c>
      <c r="DH421" t="s">
        <v>3</v>
      </c>
      <c r="DI421" t="s">
        <v>3</v>
      </c>
      <c r="DJ421" t="s">
        <v>3</v>
      </c>
      <c r="DK421" t="s">
        <v>3</v>
      </c>
      <c r="DL421" t="s">
        <v>3</v>
      </c>
      <c r="DM421" t="s">
        <v>3</v>
      </c>
      <c r="DN421">
        <v>0</v>
      </c>
      <c r="DO421">
        <v>0</v>
      </c>
      <c r="DP421">
        <v>1</v>
      </c>
      <c r="DQ421">
        <v>1</v>
      </c>
      <c r="DU421">
        <v>1003</v>
      </c>
      <c r="DV421" t="s">
        <v>349</v>
      </c>
      <c r="DW421" t="s">
        <v>349</v>
      </c>
      <c r="DX421">
        <v>1</v>
      </c>
      <c r="EE421">
        <v>48752214</v>
      </c>
      <c r="EF421">
        <v>2</v>
      </c>
      <c r="EG421" t="s">
        <v>30</v>
      </c>
      <c r="EH421">
        <v>0</v>
      </c>
      <c r="EI421" t="s">
        <v>3</v>
      </c>
      <c r="EJ421">
        <v>1</v>
      </c>
      <c r="EK421">
        <v>9001</v>
      </c>
      <c r="EL421" t="s">
        <v>340</v>
      </c>
      <c r="EM421" t="s">
        <v>341</v>
      </c>
      <c r="EO421" t="s">
        <v>3</v>
      </c>
      <c r="EQ421">
        <v>0</v>
      </c>
      <c r="ER421">
        <v>16.579999999999998</v>
      </c>
      <c r="ES421">
        <v>16.579999999999998</v>
      </c>
      <c r="ET421">
        <v>0</v>
      </c>
      <c r="EU421">
        <v>0</v>
      </c>
      <c r="EV421">
        <v>0</v>
      </c>
      <c r="EW421">
        <v>0</v>
      </c>
      <c r="EX421">
        <v>0</v>
      </c>
      <c r="FQ421">
        <v>0</v>
      </c>
      <c r="FR421">
        <f t="shared" si="308"/>
        <v>0</v>
      </c>
      <c r="FS421">
        <v>0</v>
      </c>
      <c r="FU421" t="s">
        <v>33</v>
      </c>
      <c r="FX421">
        <v>90</v>
      </c>
      <c r="FY421">
        <v>72.25</v>
      </c>
      <c r="GA421" t="s">
        <v>3</v>
      </c>
      <c r="GD421">
        <v>1</v>
      </c>
      <c r="GF421">
        <v>-950338045</v>
      </c>
      <c r="GG421">
        <v>2</v>
      </c>
      <c r="GH421">
        <v>0</v>
      </c>
      <c r="GI421">
        <v>0</v>
      </c>
      <c r="GJ421">
        <v>0</v>
      </c>
      <c r="GK421">
        <v>0</v>
      </c>
      <c r="GL421">
        <f t="shared" si="309"/>
        <v>0</v>
      </c>
      <c r="GM421">
        <f t="shared" si="310"/>
        <v>1619</v>
      </c>
      <c r="GN421">
        <f t="shared" si="311"/>
        <v>1619</v>
      </c>
      <c r="GO421">
        <f t="shared" si="312"/>
        <v>0</v>
      </c>
      <c r="GP421">
        <f t="shared" si="313"/>
        <v>0</v>
      </c>
      <c r="GR421">
        <v>0</v>
      </c>
      <c r="GS421">
        <v>0</v>
      </c>
      <c r="GT421">
        <v>0</v>
      </c>
      <c r="GU421" t="s">
        <v>3</v>
      </c>
      <c r="GV421">
        <f t="shared" si="314"/>
        <v>0</v>
      </c>
      <c r="GW421">
        <v>1</v>
      </c>
      <c r="GX421">
        <f t="shared" si="315"/>
        <v>0</v>
      </c>
      <c r="HA421">
        <v>0</v>
      </c>
      <c r="HB421">
        <v>0</v>
      </c>
      <c r="HC421">
        <f t="shared" si="316"/>
        <v>0</v>
      </c>
      <c r="IK421">
        <v>0</v>
      </c>
    </row>
    <row r="422" spans="1:245" x14ac:dyDescent="0.2">
      <c r="A422">
        <v>18</v>
      </c>
      <c r="B422">
        <v>1</v>
      </c>
      <c r="C422">
        <v>226</v>
      </c>
      <c r="E422" t="s">
        <v>360</v>
      </c>
      <c r="F422" t="s">
        <v>361</v>
      </c>
      <c r="G422" t="s">
        <v>362</v>
      </c>
      <c r="H422" t="s">
        <v>190</v>
      </c>
      <c r="I422">
        <f>I420*J422</f>
        <v>0.27100000000000002</v>
      </c>
      <c r="J422">
        <v>0.10423076923076924</v>
      </c>
      <c r="O422">
        <f t="shared" si="281"/>
        <v>3437</v>
      </c>
      <c r="P422">
        <f t="shared" si="282"/>
        <v>3437</v>
      </c>
      <c r="Q422">
        <f t="shared" si="283"/>
        <v>0</v>
      </c>
      <c r="R422">
        <f t="shared" si="284"/>
        <v>0</v>
      </c>
      <c r="S422">
        <f t="shared" si="285"/>
        <v>0</v>
      </c>
      <c r="T422">
        <f t="shared" si="286"/>
        <v>0</v>
      </c>
      <c r="U422">
        <f t="shared" si="287"/>
        <v>0</v>
      </c>
      <c r="V422">
        <f t="shared" si="288"/>
        <v>0</v>
      </c>
      <c r="W422">
        <f t="shared" si="289"/>
        <v>0</v>
      </c>
      <c r="X422">
        <f t="shared" si="290"/>
        <v>0</v>
      </c>
      <c r="Y422">
        <f t="shared" si="291"/>
        <v>0</v>
      </c>
      <c r="AA422">
        <v>50210945</v>
      </c>
      <c r="AB422">
        <f t="shared" si="292"/>
        <v>12683.8</v>
      </c>
      <c r="AC422">
        <f t="shared" si="293"/>
        <v>12683.8</v>
      </c>
      <c r="AD422">
        <f>ROUND((((ET422)-(EU422))+AE422),1)</f>
        <v>0</v>
      </c>
      <c r="AE422">
        <f t="shared" si="317"/>
        <v>0</v>
      </c>
      <c r="AF422">
        <f t="shared" si="317"/>
        <v>0</v>
      </c>
      <c r="AG422">
        <f t="shared" si="294"/>
        <v>0</v>
      </c>
      <c r="AH422">
        <f t="shared" si="318"/>
        <v>0</v>
      </c>
      <c r="AI422">
        <f t="shared" si="318"/>
        <v>0</v>
      </c>
      <c r="AJ422">
        <f t="shared" si="296"/>
        <v>0</v>
      </c>
      <c r="AK422">
        <v>12683.81</v>
      </c>
      <c r="AL422">
        <v>12683.81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90</v>
      </c>
      <c r="AU422">
        <v>72</v>
      </c>
      <c r="AV422">
        <v>1</v>
      </c>
      <c r="AW422">
        <v>1</v>
      </c>
      <c r="AZ422">
        <v>1</v>
      </c>
      <c r="BA422">
        <v>1</v>
      </c>
      <c r="BB422">
        <v>1</v>
      </c>
      <c r="BC422">
        <v>1</v>
      </c>
      <c r="BD422" t="s">
        <v>3</v>
      </c>
      <c r="BE422" t="s">
        <v>3</v>
      </c>
      <c r="BF422" t="s">
        <v>3</v>
      </c>
      <c r="BG422" t="s">
        <v>3</v>
      </c>
      <c r="BH422">
        <v>3</v>
      </c>
      <c r="BI422">
        <v>1</v>
      </c>
      <c r="BJ422" t="s">
        <v>363</v>
      </c>
      <c r="BM422">
        <v>9001</v>
      </c>
      <c r="BN422">
        <v>0</v>
      </c>
      <c r="BO422" t="s">
        <v>3</v>
      </c>
      <c r="BP422">
        <v>0</v>
      </c>
      <c r="BQ422">
        <v>2</v>
      </c>
      <c r="BR422">
        <v>0</v>
      </c>
      <c r="BS422">
        <v>1</v>
      </c>
      <c r="BT422">
        <v>1</v>
      </c>
      <c r="BU422">
        <v>1</v>
      </c>
      <c r="BV422">
        <v>1</v>
      </c>
      <c r="BW422">
        <v>1</v>
      </c>
      <c r="BX422">
        <v>1</v>
      </c>
      <c r="BY422" t="s">
        <v>3</v>
      </c>
      <c r="BZ422">
        <v>90</v>
      </c>
      <c r="CA422">
        <v>85</v>
      </c>
      <c r="CE422">
        <v>0</v>
      </c>
      <c r="CF422">
        <v>0</v>
      </c>
      <c r="CG422">
        <v>0</v>
      </c>
      <c r="CM422">
        <v>0</v>
      </c>
      <c r="CN422" t="s">
        <v>3</v>
      </c>
      <c r="CO422">
        <v>0</v>
      </c>
      <c r="CP422">
        <f t="shared" si="297"/>
        <v>3437</v>
      </c>
      <c r="CQ422">
        <f t="shared" si="298"/>
        <v>12683.8</v>
      </c>
      <c r="CR422">
        <f t="shared" si="299"/>
        <v>0</v>
      </c>
      <c r="CS422">
        <f t="shared" si="300"/>
        <v>0</v>
      </c>
      <c r="CT422">
        <f t="shared" si="301"/>
        <v>0</v>
      </c>
      <c r="CU422">
        <f t="shared" si="302"/>
        <v>0</v>
      </c>
      <c r="CV422">
        <f t="shared" si="303"/>
        <v>0</v>
      </c>
      <c r="CW422">
        <f t="shared" si="304"/>
        <v>0</v>
      </c>
      <c r="CX422">
        <f t="shared" si="305"/>
        <v>0</v>
      </c>
      <c r="CY422">
        <f t="shared" si="306"/>
        <v>0</v>
      </c>
      <c r="CZ422">
        <f t="shared" si="307"/>
        <v>0</v>
      </c>
      <c r="DC422" t="s">
        <v>3</v>
      </c>
      <c r="DD422" t="s">
        <v>3</v>
      </c>
      <c r="DE422" t="s">
        <v>3</v>
      </c>
      <c r="DF422" t="s">
        <v>3</v>
      </c>
      <c r="DG422" t="s">
        <v>3</v>
      </c>
      <c r="DH422" t="s">
        <v>3</v>
      </c>
      <c r="DI422" t="s">
        <v>3</v>
      </c>
      <c r="DJ422" t="s">
        <v>3</v>
      </c>
      <c r="DK422" t="s">
        <v>3</v>
      </c>
      <c r="DL422" t="s">
        <v>3</v>
      </c>
      <c r="DM422" t="s">
        <v>3</v>
      </c>
      <c r="DN422">
        <v>0</v>
      </c>
      <c r="DO422">
        <v>0</v>
      </c>
      <c r="DP422">
        <v>1</v>
      </c>
      <c r="DQ422">
        <v>1</v>
      </c>
      <c r="DU422">
        <v>1009</v>
      </c>
      <c r="DV422" t="s">
        <v>190</v>
      </c>
      <c r="DW422" t="s">
        <v>190</v>
      </c>
      <c r="DX422">
        <v>1000</v>
      </c>
      <c r="EE422">
        <v>48752214</v>
      </c>
      <c r="EF422">
        <v>2</v>
      </c>
      <c r="EG422" t="s">
        <v>30</v>
      </c>
      <c r="EH422">
        <v>0</v>
      </c>
      <c r="EI422" t="s">
        <v>3</v>
      </c>
      <c r="EJ422">
        <v>1</v>
      </c>
      <c r="EK422">
        <v>9001</v>
      </c>
      <c r="EL422" t="s">
        <v>340</v>
      </c>
      <c r="EM422" t="s">
        <v>341</v>
      </c>
      <c r="EO422" t="s">
        <v>3</v>
      </c>
      <c r="EQ422">
        <v>0</v>
      </c>
      <c r="ER422">
        <v>12683.81</v>
      </c>
      <c r="ES422">
        <v>12683.81</v>
      </c>
      <c r="ET422">
        <v>0</v>
      </c>
      <c r="EU422">
        <v>0</v>
      </c>
      <c r="EV422">
        <v>0</v>
      </c>
      <c r="EW422">
        <v>0</v>
      </c>
      <c r="EX422">
        <v>0</v>
      </c>
      <c r="FQ422">
        <v>0</v>
      </c>
      <c r="FR422">
        <f t="shared" si="308"/>
        <v>0</v>
      </c>
      <c r="FS422">
        <v>0</v>
      </c>
      <c r="FU422" t="s">
        <v>33</v>
      </c>
      <c r="FX422">
        <v>90</v>
      </c>
      <c r="FY422">
        <v>72.25</v>
      </c>
      <c r="GA422" t="s">
        <v>3</v>
      </c>
      <c r="GD422">
        <v>1</v>
      </c>
      <c r="GF422">
        <v>1580971982</v>
      </c>
      <c r="GG422">
        <v>2</v>
      </c>
      <c r="GH422">
        <v>0</v>
      </c>
      <c r="GI422">
        <v>0</v>
      </c>
      <c r="GJ422">
        <v>0</v>
      </c>
      <c r="GK422">
        <v>0</v>
      </c>
      <c r="GL422">
        <f t="shared" si="309"/>
        <v>0</v>
      </c>
      <c r="GM422">
        <f t="shared" si="310"/>
        <v>3437</v>
      </c>
      <c r="GN422">
        <f t="shared" si="311"/>
        <v>3437</v>
      </c>
      <c r="GO422">
        <f t="shared" si="312"/>
        <v>0</v>
      </c>
      <c r="GP422">
        <f t="shared" si="313"/>
        <v>0</v>
      </c>
      <c r="GR422">
        <v>0</v>
      </c>
      <c r="GS422">
        <v>0</v>
      </c>
      <c r="GT422">
        <v>0</v>
      </c>
      <c r="GU422" t="s">
        <v>3</v>
      </c>
      <c r="GV422">
        <f t="shared" si="314"/>
        <v>0</v>
      </c>
      <c r="GW422">
        <v>1</v>
      </c>
      <c r="GX422">
        <f t="shared" si="315"/>
        <v>0</v>
      </c>
      <c r="HA422">
        <v>0</v>
      </c>
      <c r="HB422">
        <v>0</v>
      </c>
      <c r="HC422">
        <f t="shared" si="316"/>
        <v>0</v>
      </c>
      <c r="IK422">
        <v>0</v>
      </c>
    </row>
    <row r="423" spans="1:245" x14ac:dyDescent="0.2">
      <c r="A423">
        <v>18</v>
      </c>
      <c r="B423">
        <v>1</v>
      </c>
      <c r="C423">
        <v>227</v>
      </c>
      <c r="E423" t="s">
        <v>364</v>
      </c>
      <c r="F423" t="s">
        <v>365</v>
      </c>
      <c r="G423" t="s">
        <v>366</v>
      </c>
      <c r="H423" t="s">
        <v>367</v>
      </c>
      <c r="I423">
        <f>I420*J423</f>
        <v>54.2</v>
      </c>
      <c r="J423">
        <v>20.846153846153847</v>
      </c>
      <c r="O423">
        <f t="shared" si="281"/>
        <v>591</v>
      </c>
      <c r="P423">
        <f t="shared" si="282"/>
        <v>591</v>
      </c>
      <c r="Q423">
        <f t="shared" si="283"/>
        <v>0</v>
      </c>
      <c r="R423">
        <f t="shared" si="284"/>
        <v>0</v>
      </c>
      <c r="S423">
        <f t="shared" si="285"/>
        <v>0</v>
      </c>
      <c r="T423">
        <f t="shared" si="286"/>
        <v>0</v>
      </c>
      <c r="U423">
        <f t="shared" si="287"/>
        <v>0</v>
      </c>
      <c r="V423">
        <f t="shared" si="288"/>
        <v>0</v>
      </c>
      <c r="W423">
        <f t="shared" si="289"/>
        <v>0</v>
      </c>
      <c r="X423">
        <f t="shared" si="290"/>
        <v>0</v>
      </c>
      <c r="Y423">
        <f t="shared" si="291"/>
        <v>0</v>
      </c>
      <c r="AA423">
        <v>50210945</v>
      </c>
      <c r="AB423">
        <f t="shared" si="292"/>
        <v>10.9</v>
      </c>
      <c r="AC423">
        <f t="shared" si="293"/>
        <v>10.9</v>
      </c>
      <c r="AD423">
        <f>ROUND((((ET423)-(EU423))+AE423),1)</f>
        <v>0</v>
      </c>
      <c r="AE423">
        <f t="shared" si="317"/>
        <v>0</v>
      </c>
      <c r="AF423">
        <f t="shared" si="317"/>
        <v>0</v>
      </c>
      <c r="AG423">
        <f t="shared" si="294"/>
        <v>0</v>
      </c>
      <c r="AH423">
        <f t="shared" si="318"/>
        <v>0</v>
      </c>
      <c r="AI423">
        <f t="shared" si="318"/>
        <v>0</v>
      </c>
      <c r="AJ423">
        <f t="shared" si="296"/>
        <v>0</v>
      </c>
      <c r="AK423">
        <v>10.93</v>
      </c>
      <c r="AL423">
        <v>10.93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90</v>
      </c>
      <c r="AU423">
        <v>72</v>
      </c>
      <c r="AV423">
        <v>1</v>
      </c>
      <c r="AW423">
        <v>1</v>
      </c>
      <c r="AZ423">
        <v>1</v>
      </c>
      <c r="BA423">
        <v>1</v>
      </c>
      <c r="BB423">
        <v>1</v>
      </c>
      <c r="BC423">
        <v>1</v>
      </c>
      <c r="BD423" t="s">
        <v>3</v>
      </c>
      <c r="BE423" t="s">
        <v>3</v>
      </c>
      <c r="BF423" t="s">
        <v>3</v>
      </c>
      <c r="BG423" t="s">
        <v>3</v>
      </c>
      <c r="BH423">
        <v>3</v>
      </c>
      <c r="BI423">
        <v>1</v>
      </c>
      <c r="BJ423" t="s">
        <v>368</v>
      </c>
      <c r="BM423">
        <v>9001</v>
      </c>
      <c r="BN423">
        <v>0</v>
      </c>
      <c r="BO423" t="s">
        <v>3</v>
      </c>
      <c r="BP423">
        <v>0</v>
      </c>
      <c r="BQ423">
        <v>2</v>
      </c>
      <c r="BR423">
        <v>0</v>
      </c>
      <c r="BS423">
        <v>1</v>
      </c>
      <c r="BT423">
        <v>1</v>
      </c>
      <c r="BU423">
        <v>1</v>
      </c>
      <c r="BV423">
        <v>1</v>
      </c>
      <c r="BW423">
        <v>1</v>
      </c>
      <c r="BX423">
        <v>1</v>
      </c>
      <c r="BY423" t="s">
        <v>3</v>
      </c>
      <c r="BZ423">
        <v>90</v>
      </c>
      <c r="CA423">
        <v>85</v>
      </c>
      <c r="CE423">
        <v>0</v>
      </c>
      <c r="CF423">
        <v>0</v>
      </c>
      <c r="CG423">
        <v>0</v>
      </c>
      <c r="CM423">
        <v>0</v>
      </c>
      <c r="CN423" t="s">
        <v>3</v>
      </c>
      <c r="CO423">
        <v>0</v>
      </c>
      <c r="CP423">
        <f t="shared" si="297"/>
        <v>591</v>
      </c>
      <c r="CQ423">
        <f t="shared" si="298"/>
        <v>10.9</v>
      </c>
      <c r="CR423">
        <f t="shared" si="299"/>
        <v>0</v>
      </c>
      <c r="CS423">
        <f t="shared" si="300"/>
        <v>0</v>
      </c>
      <c r="CT423">
        <f t="shared" si="301"/>
        <v>0</v>
      </c>
      <c r="CU423">
        <f t="shared" si="302"/>
        <v>0</v>
      </c>
      <c r="CV423">
        <f t="shared" si="303"/>
        <v>0</v>
      </c>
      <c r="CW423">
        <f t="shared" si="304"/>
        <v>0</v>
      </c>
      <c r="CX423">
        <f t="shared" si="305"/>
        <v>0</v>
      </c>
      <c r="CY423">
        <f t="shared" si="306"/>
        <v>0</v>
      </c>
      <c r="CZ423">
        <f t="shared" si="307"/>
        <v>0</v>
      </c>
      <c r="DC423" t="s">
        <v>3</v>
      </c>
      <c r="DD423" t="s">
        <v>3</v>
      </c>
      <c r="DE423" t="s">
        <v>3</v>
      </c>
      <c r="DF423" t="s">
        <v>3</v>
      </c>
      <c r="DG423" t="s">
        <v>3</v>
      </c>
      <c r="DH423" t="s">
        <v>3</v>
      </c>
      <c r="DI423" t="s">
        <v>3</v>
      </c>
      <c r="DJ423" t="s">
        <v>3</v>
      </c>
      <c r="DK423" t="s">
        <v>3</v>
      </c>
      <c r="DL423" t="s">
        <v>3</v>
      </c>
      <c r="DM423" t="s">
        <v>3</v>
      </c>
      <c r="DN423">
        <v>0</v>
      </c>
      <c r="DO423">
        <v>0</v>
      </c>
      <c r="DP423">
        <v>1</v>
      </c>
      <c r="DQ423">
        <v>1</v>
      </c>
      <c r="DU423">
        <v>1010</v>
      </c>
      <c r="DV423" t="s">
        <v>367</v>
      </c>
      <c r="DW423" t="s">
        <v>367</v>
      </c>
      <c r="DX423">
        <v>10</v>
      </c>
      <c r="EE423">
        <v>48752214</v>
      </c>
      <c r="EF423">
        <v>2</v>
      </c>
      <c r="EG423" t="s">
        <v>30</v>
      </c>
      <c r="EH423">
        <v>0</v>
      </c>
      <c r="EI423" t="s">
        <v>3</v>
      </c>
      <c r="EJ423">
        <v>1</v>
      </c>
      <c r="EK423">
        <v>9001</v>
      </c>
      <c r="EL423" t="s">
        <v>340</v>
      </c>
      <c r="EM423" t="s">
        <v>341</v>
      </c>
      <c r="EO423" t="s">
        <v>3</v>
      </c>
      <c r="EQ423">
        <v>0</v>
      </c>
      <c r="ER423">
        <v>10.93</v>
      </c>
      <c r="ES423">
        <v>10.93</v>
      </c>
      <c r="ET423">
        <v>0</v>
      </c>
      <c r="EU423">
        <v>0</v>
      </c>
      <c r="EV423">
        <v>0</v>
      </c>
      <c r="EW423">
        <v>0</v>
      </c>
      <c r="EX423">
        <v>0</v>
      </c>
      <c r="FQ423">
        <v>0</v>
      </c>
      <c r="FR423">
        <f t="shared" si="308"/>
        <v>0</v>
      </c>
      <c r="FS423">
        <v>0</v>
      </c>
      <c r="FU423" t="s">
        <v>33</v>
      </c>
      <c r="FX423">
        <v>90</v>
      </c>
      <c r="FY423">
        <v>72.25</v>
      </c>
      <c r="GA423" t="s">
        <v>3</v>
      </c>
      <c r="GD423">
        <v>1</v>
      </c>
      <c r="GF423">
        <v>264401992</v>
      </c>
      <c r="GG423">
        <v>2</v>
      </c>
      <c r="GH423">
        <v>0</v>
      </c>
      <c r="GI423">
        <v>0</v>
      </c>
      <c r="GJ423">
        <v>0</v>
      </c>
      <c r="GK423">
        <v>0</v>
      </c>
      <c r="GL423">
        <f t="shared" si="309"/>
        <v>0</v>
      </c>
      <c r="GM423">
        <f t="shared" si="310"/>
        <v>591</v>
      </c>
      <c r="GN423">
        <f t="shared" si="311"/>
        <v>591</v>
      </c>
      <c r="GO423">
        <f t="shared" si="312"/>
        <v>0</v>
      </c>
      <c r="GP423">
        <f t="shared" si="313"/>
        <v>0</v>
      </c>
      <c r="GR423">
        <v>0</v>
      </c>
      <c r="GS423">
        <v>0</v>
      </c>
      <c r="GT423">
        <v>0</v>
      </c>
      <c r="GU423" t="s">
        <v>3</v>
      </c>
      <c r="GV423">
        <f t="shared" si="314"/>
        <v>0</v>
      </c>
      <c r="GW423">
        <v>1</v>
      </c>
      <c r="GX423">
        <f t="shared" si="315"/>
        <v>0</v>
      </c>
      <c r="HA423">
        <v>0</v>
      </c>
      <c r="HB423">
        <v>0</v>
      </c>
      <c r="HC423">
        <f t="shared" si="316"/>
        <v>0</v>
      </c>
      <c r="IK423">
        <v>0</v>
      </c>
    </row>
    <row r="424" spans="1:245" x14ac:dyDescent="0.2">
      <c r="A424">
        <v>17</v>
      </c>
      <c r="B424">
        <v>1</v>
      </c>
      <c r="C424">
        <f>ROW(SmtRes!A236)</f>
        <v>236</v>
      </c>
      <c r="D424">
        <f>ROW(EtalonRes!A231)</f>
        <v>231</v>
      </c>
      <c r="E424" t="s">
        <v>369</v>
      </c>
      <c r="F424" t="s">
        <v>370</v>
      </c>
      <c r="G424" t="s">
        <v>371</v>
      </c>
      <c r="H424" t="s">
        <v>372</v>
      </c>
      <c r="I424">
        <f>ROUND(((0.1152+0.2135)*43.5)/100,4)</f>
        <v>0.14299999999999999</v>
      </c>
      <c r="J424">
        <v>0</v>
      </c>
      <c r="O424">
        <f t="shared" si="281"/>
        <v>37</v>
      </c>
      <c r="P424">
        <f t="shared" si="282"/>
        <v>27</v>
      </c>
      <c r="Q424">
        <f t="shared" si="283"/>
        <v>2</v>
      </c>
      <c r="R424">
        <f t="shared" si="284"/>
        <v>0</v>
      </c>
      <c r="S424">
        <f t="shared" si="285"/>
        <v>8</v>
      </c>
      <c r="T424">
        <f t="shared" si="286"/>
        <v>0</v>
      </c>
      <c r="U424">
        <f t="shared" si="287"/>
        <v>0.87322949999999977</v>
      </c>
      <c r="V424">
        <f t="shared" si="288"/>
        <v>1.7875E-3</v>
      </c>
      <c r="W424">
        <f t="shared" si="289"/>
        <v>0</v>
      </c>
      <c r="X424">
        <f t="shared" si="290"/>
        <v>7</v>
      </c>
      <c r="Y424">
        <f t="shared" si="291"/>
        <v>5</v>
      </c>
      <c r="AA424">
        <v>50210945</v>
      </c>
      <c r="AB424">
        <f t="shared" si="292"/>
        <v>253.7</v>
      </c>
      <c r="AC424">
        <f t="shared" si="293"/>
        <v>189</v>
      </c>
      <c r="AD424">
        <f>ROUND(((((ET424*1.25))-((EU424*1.25)))+AE424),1)</f>
        <v>11.8</v>
      </c>
      <c r="AE424">
        <f>ROUND(((EU424*1.25)),1)</f>
        <v>0.1</v>
      </c>
      <c r="AF424">
        <f>ROUND(((EV424*1.15)),1)</f>
        <v>52.9</v>
      </c>
      <c r="AG424">
        <f t="shared" si="294"/>
        <v>0</v>
      </c>
      <c r="AH424">
        <f>((EW424*1.15))</f>
        <v>6.1064999999999987</v>
      </c>
      <c r="AI424">
        <f>((EX424*1.25))</f>
        <v>1.2500000000000001E-2</v>
      </c>
      <c r="AJ424">
        <f t="shared" si="296"/>
        <v>0</v>
      </c>
      <c r="AK424">
        <v>244.44</v>
      </c>
      <c r="AL424">
        <v>189.04</v>
      </c>
      <c r="AM424">
        <v>9.42</v>
      </c>
      <c r="AN424">
        <v>0.1</v>
      </c>
      <c r="AO424">
        <v>45.98</v>
      </c>
      <c r="AP424">
        <v>0</v>
      </c>
      <c r="AQ424">
        <v>5.31</v>
      </c>
      <c r="AR424">
        <v>0.01</v>
      </c>
      <c r="AS424">
        <v>0</v>
      </c>
      <c r="AT424">
        <v>90</v>
      </c>
      <c r="AU424">
        <v>60</v>
      </c>
      <c r="AV424">
        <v>1</v>
      </c>
      <c r="AW424">
        <v>1</v>
      </c>
      <c r="AZ424">
        <v>1</v>
      </c>
      <c r="BA424">
        <v>1</v>
      </c>
      <c r="BB424">
        <v>1</v>
      </c>
      <c r="BC424">
        <v>1</v>
      </c>
      <c r="BD424" t="s">
        <v>3</v>
      </c>
      <c r="BE424" t="s">
        <v>3</v>
      </c>
      <c r="BF424" t="s">
        <v>3</v>
      </c>
      <c r="BG424" t="s">
        <v>3</v>
      </c>
      <c r="BH424">
        <v>0</v>
      </c>
      <c r="BI424">
        <v>1</v>
      </c>
      <c r="BJ424" t="s">
        <v>373</v>
      </c>
      <c r="BM424">
        <v>13001</v>
      </c>
      <c r="BN424">
        <v>0</v>
      </c>
      <c r="BO424" t="s">
        <v>3</v>
      </c>
      <c r="BP424">
        <v>0</v>
      </c>
      <c r="BQ424">
        <v>2</v>
      </c>
      <c r="BR424">
        <v>0</v>
      </c>
      <c r="BS424">
        <v>1</v>
      </c>
      <c r="BT424">
        <v>1</v>
      </c>
      <c r="BU424">
        <v>1</v>
      </c>
      <c r="BV424">
        <v>1</v>
      </c>
      <c r="BW424">
        <v>1</v>
      </c>
      <c r="BX424">
        <v>1</v>
      </c>
      <c r="BY424" t="s">
        <v>3</v>
      </c>
      <c r="BZ424">
        <v>90</v>
      </c>
      <c r="CA424">
        <v>70</v>
      </c>
      <c r="CE424">
        <v>0</v>
      </c>
      <c r="CF424">
        <v>0</v>
      </c>
      <c r="CG424">
        <v>0</v>
      </c>
      <c r="CM424">
        <v>0</v>
      </c>
      <c r="CN424" t="s">
        <v>3</v>
      </c>
      <c r="CO424">
        <v>0</v>
      </c>
      <c r="CP424">
        <f t="shared" si="297"/>
        <v>37</v>
      </c>
      <c r="CQ424">
        <f t="shared" si="298"/>
        <v>189</v>
      </c>
      <c r="CR424">
        <f t="shared" si="299"/>
        <v>11.8</v>
      </c>
      <c r="CS424">
        <f t="shared" si="300"/>
        <v>0.1</v>
      </c>
      <c r="CT424">
        <f t="shared" si="301"/>
        <v>52.9</v>
      </c>
      <c r="CU424">
        <f t="shared" si="302"/>
        <v>0</v>
      </c>
      <c r="CV424">
        <f t="shared" si="303"/>
        <v>6.1064999999999987</v>
      </c>
      <c r="CW424">
        <f t="shared" si="304"/>
        <v>1.2500000000000001E-2</v>
      </c>
      <c r="CX424">
        <f t="shared" si="305"/>
        <v>0</v>
      </c>
      <c r="CY424">
        <f t="shared" si="306"/>
        <v>7.2</v>
      </c>
      <c r="CZ424">
        <f t="shared" si="307"/>
        <v>4.8</v>
      </c>
      <c r="DC424" t="s">
        <v>3</v>
      </c>
      <c r="DD424" t="s">
        <v>3</v>
      </c>
      <c r="DE424" t="s">
        <v>11</v>
      </c>
      <c r="DF424" t="s">
        <v>11</v>
      </c>
      <c r="DG424" t="s">
        <v>12</v>
      </c>
      <c r="DH424" t="s">
        <v>3</v>
      </c>
      <c r="DI424" t="s">
        <v>12</v>
      </c>
      <c r="DJ424" t="s">
        <v>11</v>
      </c>
      <c r="DK424" t="s">
        <v>3</v>
      </c>
      <c r="DL424" t="s">
        <v>3</v>
      </c>
      <c r="DM424" t="s">
        <v>3</v>
      </c>
      <c r="DN424">
        <v>0</v>
      </c>
      <c r="DO424">
        <v>0</v>
      </c>
      <c r="DP424">
        <v>1</v>
      </c>
      <c r="DQ424">
        <v>1</v>
      </c>
      <c r="DU424">
        <v>1005</v>
      </c>
      <c r="DV424" t="s">
        <v>372</v>
      </c>
      <c r="DW424" t="s">
        <v>372</v>
      </c>
      <c r="DX424">
        <v>100</v>
      </c>
      <c r="EE424">
        <v>48752218</v>
      </c>
      <c r="EF424">
        <v>2</v>
      </c>
      <c r="EG424" t="s">
        <v>30</v>
      </c>
      <c r="EH424">
        <v>0</v>
      </c>
      <c r="EI424" t="s">
        <v>3</v>
      </c>
      <c r="EJ424">
        <v>1</v>
      </c>
      <c r="EK424">
        <v>13001</v>
      </c>
      <c r="EL424" t="s">
        <v>374</v>
      </c>
      <c r="EM424" t="s">
        <v>375</v>
      </c>
      <c r="EO424" t="s">
        <v>3</v>
      </c>
      <c r="EQ424">
        <v>131072</v>
      </c>
      <c r="ER424">
        <v>244.44</v>
      </c>
      <c r="ES424">
        <v>189.04</v>
      </c>
      <c r="ET424">
        <v>9.42</v>
      </c>
      <c r="EU424">
        <v>0.1</v>
      </c>
      <c r="EV424">
        <v>45.98</v>
      </c>
      <c r="EW424">
        <v>5.31</v>
      </c>
      <c r="EX424">
        <v>0.01</v>
      </c>
      <c r="EY424">
        <v>0</v>
      </c>
      <c r="FQ424">
        <v>0</v>
      </c>
      <c r="FR424">
        <f t="shared" si="308"/>
        <v>0</v>
      </c>
      <c r="FS424">
        <v>0</v>
      </c>
      <c r="FU424" t="s">
        <v>33</v>
      </c>
      <c r="FX424">
        <v>90</v>
      </c>
      <c r="FY424">
        <v>59.5</v>
      </c>
      <c r="GA424" t="s">
        <v>3</v>
      </c>
      <c r="GD424">
        <v>1</v>
      </c>
      <c r="GF424">
        <v>1736628370</v>
      </c>
      <c r="GG424">
        <v>2</v>
      </c>
      <c r="GH424">
        <v>0</v>
      </c>
      <c r="GI424">
        <v>0</v>
      </c>
      <c r="GJ424">
        <v>0</v>
      </c>
      <c r="GK424">
        <v>0</v>
      </c>
      <c r="GL424">
        <f t="shared" si="309"/>
        <v>0</v>
      </c>
      <c r="GM424">
        <f t="shared" si="310"/>
        <v>49</v>
      </c>
      <c r="GN424">
        <f t="shared" si="311"/>
        <v>49</v>
      </c>
      <c r="GO424">
        <f t="shared" si="312"/>
        <v>0</v>
      </c>
      <c r="GP424">
        <f t="shared" si="313"/>
        <v>0</v>
      </c>
      <c r="GR424">
        <v>0</v>
      </c>
      <c r="GS424">
        <v>0</v>
      </c>
      <c r="GT424">
        <v>0</v>
      </c>
      <c r="GU424" t="s">
        <v>3</v>
      </c>
      <c r="GV424">
        <f t="shared" si="314"/>
        <v>0</v>
      </c>
      <c r="GW424">
        <v>1</v>
      </c>
      <c r="GX424">
        <f t="shared" si="315"/>
        <v>0</v>
      </c>
      <c r="HA424">
        <v>0</v>
      </c>
      <c r="HB424">
        <v>0</v>
      </c>
      <c r="HC424">
        <f t="shared" si="316"/>
        <v>0</v>
      </c>
      <c r="IK424">
        <v>0</v>
      </c>
    </row>
    <row r="425" spans="1:245" x14ac:dyDescent="0.2">
      <c r="A425">
        <v>17</v>
      </c>
      <c r="B425">
        <v>1</v>
      </c>
      <c r="C425">
        <f>ROW(SmtRes!A244)</f>
        <v>244</v>
      </c>
      <c r="D425">
        <f>ROW(EtalonRes!A239)</f>
        <v>239</v>
      </c>
      <c r="E425" t="s">
        <v>376</v>
      </c>
      <c r="F425" t="s">
        <v>377</v>
      </c>
      <c r="G425" t="s">
        <v>378</v>
      </c>
      <c r="H425" t="s">
        <v>372</v>
      </c>
      <c r="I425">
        <f>ROUND((I424*100)/100,4)</f>
        <v>0.14299999999999999</v>
      </c>
      <c r="J425">
        <v>0</v>
      </c>
      <c r="O425">
        <f t="shared" si="281"/>
        <v>46</v>
      </c>
      <c r="P425">
        <f t="shared" si="282"/>
        <v>40</v>
      </c>
      <c r="Q425">
        <f t="shared" si="283"/>
        <v>1</v>
      </c>
      <c r="R425">
        <f t="shared" si="284"/>
        <v>0</v>
      </c>
      <c r="S425">
        <f t="shared" si="285"/>
        <v>5</v>
      </c>
      <c r="T425">
        <f t="shared" si="286"/>
        <v>0</v>
      </c>
      <c r="U425">
        <f t="shared" si="287"/>
        <v>0.62984349999999989</v>
      </c>
      <c r="V425">
        <f t="shared" si="288"/>
        <v>1.7875E-3</v>
      </c>
      <c r="W425">
        <f t="shared" si="289"/>
        <v>0</v>
      </c>
      <c r="X425">
        <f t="shared" si="290"/>
        <v>5</v>
      </c>
      <c r="Y425">
        <f t="shared" si="291"/>
        <v>3</v>
      </c>
      <c r="AA425">
        <v>50210945</v>
      </c>
      <c r="AB425">
        <f t="shared" si="292"/>
        <v>317.10000000000002</v>
      </c>
      <c r="AC425">
        <f t="shared" si="293"/>
        <v>276.89999999999998</v>
      </c>
      <c r="AD425">
        <f>ROUND(((((ET425*1.25))-((EU425*1.25)))+AE425),1)</f>
        <v>7.7</v>
      </c>
      <c r="AE425">
        <f>ROUND(((EU425*1.25)),1)</f>
        <v>0.1</v>
      </c>
      <c r="AF425">
        <f>ROUND(((EV425*1.15)),1)</f>
        <v>32.5</v>
      </c>
      <c r="AG425">
        <f t="shared" si="294"/>
        <v>0</v>
      </c>
      <c r="AH425">
        <f>((EW425*1.15))</f>
        <v>4.4044999999999996</v>
      </c>
      <c r="AI425">
        <f>((EX425*1.25))</f>
        <v>1.2500000000000001E-2</v>
      </c>
      <c r="AJ425">
        <f t="shared" si="296"/>
        <v>0</v>
      </c>
      <c r="AK425">
        <v>311.36</v>
      </c>
      <c r="AL425">
        <v>276.88</v>
      </c>
      <c r="AM425">
        <v>6.21</v>
      </c>
      <c r="AN425">
        <v>0.1</v>
      </c>
      <c r="AO425">
        <v>28.27</v>
      </c>
      <c r="AP425">
        <v>0</v>
      </c>
      <c r="AQ425">
        <v>3.83</v>
      </c>
      <c r="AR425">
        <v>0.01</v>
      </c>
      <c r="AS425">
        <v>0</v>
      </c>
      <c r="AT425">
        <v>90</v>
      </c>
      <c r="AU425">
        <v>60</v>
      </c>
      <c r="AV425">
        <v>1</v>
      </c>
      <c r="AW425">
        <v>1</v>
      </c>
      <c r="AZ425">
        <v>1</v>
      </c>
      <c r="BA425">
        <v>1</v>
      </c>
      <c r="BB425">
        <v>1</v>
      </c>
      <c r="BC425">
        <v>1</v>
      </c>
      <c r="BD425" t="s">
        <v>3</v>
      </c>
      <c r="BE425" t="s">
        <v>3</v>
      </c>
      <c r="BF425" t="s">
        <v>3</v>
      </c>
      <c r="BG425" t="s">
        <v>3</v>
      </c>
      <c r="BH425">
        <v>0</v>
      </c>
      <c r="BI425">
        <v>1</v>
      </c>
      <c r="BJ425" t="s">
        <v>379</v>
      </c>
      <c r="BM425">
        <v>13001</v>
      </c>
      <c r="BN425">
        <v>0</v>
      </c>
      <c r="BO425" t="s">
        <v>3</v>
      </c>
      <c r="BP425">
        <v>0</v>
      </c>
      <c r="BQ425">
        <v>2</v>
      </c>
      <c r="BR425">
        <v>0</v>
      </c>
      <c r="BS425">
        <v>1</v>
      </c>
      <c r="BT425">
        <v>1</v>
      </c>
      <c r="BU425">
        <v>1</v>
      </c>
      <c r="BV425">
        <v>1</v>
      </c>
      <c r="BW425">
        <v>1</v>
      </c>
      <c r="BX425">
        <v>1</v>
      </c>
      <c r="BY425" t="s">
        <v>3</v>
      </c>
      <c r="BZ425">
        <v>90</v>
      </c>
      <c r="CA425">
        <v>70</v>
      </c>
      <c r="CE425">
        <v>0</v>
      </c>
      <c r="CF425">
        <v>0</v>
      </c>
      <c r="CG425">
        <v>0</v>
      </c>
      <c r="CM425">
        <v>0</v>
      </c>
      <c r="CN425" t="s">
        <v>3</v>
      </c>
      <c r="CO425">
        <v>0</v>
      </c>
      <c r="CP425">
        <f t="shared" si="297"/>
        <v>46</v>
      </c>
      <c r="CQ425">
        <f t="shared" si="298"/>
        <v>276.89999999999998</v>
      </c>
      <c r="CR425">
        <f t="shared" si="299"/>
        <v>7.7</v>
      </c>
      <c r="CS425">
        <f t="shared" si="300"/>
        <v>0.1</v>
      </c>
      <c r="CT425">
        <f t="shared" si="301"/>
        <v>32.5</v>
      </c>
      <c r="CU425">
        <f t="shared" si="302"/>
        <v>0</v>
      </c>
      <c r="CV425">
        <f t="shared" si="303"/>
        <v>4.4044999999999996</v>
      </c>
      <c r="CW425">
        <f t="shared" si="304"/>
        <v>1.2500000000000001E-2</v>
      </c>
      <c r="CX425">
        <f t="shared" si="305"/>
        <v>0</v>
      </c>
      <c r="CY425">
        <f t="shared" si="306"/>
        <v>4.5</v>
      </c>
      <c r="CZ425">
        <f t="shared" si="307"/>
        <v>3</v>
      </c>
      <c r="DC425" t="s">
        <v>3</v>
      </c>
      <c r="DD425" t="s">
        <v>3</v>
      </c>
      <c r="DE425" t="s">
        <v>11</v>
      </c>
      <c r="DF425" t="s">
        <v>11</v>
      </c>
      <c r="DG425" t="s">
        <v>12</v>
      </c>
      <c r="DH425" t="s">
        <v>3</v>
      </c>
      <c r="DI425" t="s">
        <v>12</v>
      </c>
      <c r="DJ425" t="s">
        <v>11</v>
      </c>
      <c r="DK425" t="s">
        <v>3</v>
      </c>
      <c r="DL425" t="s">
        <v>3</v>
      </c>
      <c r="DM425" t="s">
        <v>3</v>
      </c>
      <c r="DN425">
        <v>0</v>
      </c>
      <c r="DO425">
        <v>0</v>
      </c>
      <c r="DP425">
        <v>1</v>
      </c>
      <c r="DQ425">
        <v>1</v>
      </c>
      <c r="DU425">
        <v>1005</v>
      </c>
      <c r="DV425" t="s">
        <v>372</v>
      </c>
      <c r="DW425" t="s">
        <v>372</v>
      </c>
      <c r="DX425">
        <v>100</v>
      </c>
      <c r="EE425">
        <v>48752218</v>
      </c>
      <c r="EF425">
        <v>2</v>
      </c>
      <c r="EG425" t="s">
        <v>30</v>
      </c>
      <c r="EH425">
        <v>0</v>
      </c>
      <c r="EI425" t="s">
        <v>3</v>
      </c>
      <c r="EJ425">
        <v>1</v>
      </c>
      <c r="EK425">
        <v>13001</v>
      </c>
      <c r="EL425" t="s">
        <v>374</v>
      </c>
      <c r="EM425" t="s">
        <v>375</v>
      </c>
      <c r="EO425" t="s">
        <v>3</v>
      </c>
      <c r="EQ425">
        <v>131072</v>
      </c>
      <c r="ER425">
        <v>311.36</v>
      </c>
      <c r="ES425">
        <v>276.88</v>
      </c>
      <c r="ET425">
        <v>6.21</v>
      </c>
      <c r="EU425">
        <v>0.1</v>
      </c>
      <c r="EV425">
        <v>28.27</v>
      </c>
      <c r="EW425">
        <v>3.83</v>
      </c>
      <c r="EX425">
        <v>0.01</v>
      </c>
      <c r="EY425">
        <v>0</v>
      </c>
      <c r="FQ425">
        <v>0</v>
      </c>
      <c r="FR425">
        <f t="shared" si="308"/>
        <v>0</v>
      </c>
      <c r="FS425">
        <v>0</v>
      </c>
      <c r="FU425" t="s">
        <v>33</v>
      </c>
      <c r="FX425">
        <v>90</v>
      </c>
      <c r="FY425">
        <v>59.5</v>
      </c>
      <c r="GA425" t="s">
        <v>3</v>
      </c>
      <c r="GD425">
        <v>1</v>
      </c>
      <c r="GF425">
        <v>155487398</v>
      </c>
      <c r="GG425">
        <v>2</v>
      </c>
      <c r="GH425">
        <v>0</v>
      </c>
      <c r="GI425">
        <v>0</v>
      </c>
      <c r="GJ425">
        <v>0</v>
      </c>
      <c r="GK425">
        <v>0</v>
      </c>
      <c r="GL425">
        <f t="shared" si="309"/>
        <v>0</v>
      </c>
      <c r="GM425">
        <f t="shared" si="310"/>
        <v>54</v>
      </c>
      <c r="GN425">
        <f t="shared" si="311"/>
        <v>54</v>
      </c>
      <c r="GO425">
        <f t="shared" si="312"/>
        <v>0</v>
      </c>
      <c r="GP425">
        <f t="shared" si="313"/>
        <v>0</v>
      </c>
      <c r="GR425">
        <v>0</v>
      </c>
      <c r="GS425">
        <v>0</v>
      </c>
      <c r="GT425">
        <v>0</v>
      </c>
      <c r="GU425" t="s">
        <v>3</v>
      </c>
      <c r="GV425">
        <f t="shared" si="314"/>
        <v>0</v>
      </c>
      <c r="GW425">
        <v>1</v>
      </c>
      <c r="GX425">
        <f t="shared" si="315"/>
        <v>0</v>
      </c>
      <c r="HA425">
        <v>0</v>
      </c>
      <c r="HB425">
        <v>0</v>
      </c>
      <c r="HC425">
        <f t="shared" si="316"/>
        <v>0</v>
      </c>
      <c r="IK425">
        <v>0</v>
      </c>
    </row>
    <row r="427" spans="1:245" x14ac:dyDescent="0.2">
      <c r="A427" s="2">
        <v>51</v>
      </c>
      <c r="B427" s="2">
        <f>B408</f>
        <v>1</v>
      </c>
      <c r="C427" s="2">
        <f>A408</f>
        <v>4</v>
      </c>
      <c r="D427" s="2">
        <f>ROW(A408)</f>
        <v>408</v>
      </c>
      <c r="E427" s="2"/>
      <c r="F427" s="2" t="str">
        <f>IF(F408&lt;&gt;"",F408,"")</f>
        <v>Новый раздел</v>
      </c>
      <c r="G427" s="2" t="str">
        <f>IF(G408&lt;&gt;"",G408,"")</f>
        <v>3. Контейнерная площадка S=23,22м2</v>
      </c>
      <c r="H427" s="2">
        <v>0</v>
      </c>
      <c r="I427" s="2"/>
      <c r="J427" s="2"/>
      <c r="K427" s="2"/>
      <c r="L427" s="2"/>
      <c r="M427" s="2"/>
      <c r="N427" s="2"/>
      <c r="O427" s="2">
        <f t="shared" ref="O427:T427" si="319">ROUND(AB427,0)</f>
        <v>9356</v>
      </c>
      <c r="P427" s="2">
        <f t="shared" si="319"/>
        <v>8193</v>
      </c>
      <c r="Q427" s="2">
        <f t="shared" si="319"/>
        <v>806</v>
      </c>
      <c r="R427" s="2">
        <f t="shared" si="319"/>
        <v>122</v>
      </c>
      <c r="S427" s="2">
        <f t="shared" si="319"/>
        <v>357</v>
      </c>
      <c r="T427" s="2">
        <f t="shared" si="319"/>
        <v>0</v>
      </c>
      <c r="U427" s="2">
        <f>AH427</f>
        <v>51.707344999999997</v>
      </c>
      <c r="V427" s="2">
        <f>AI427</f>
        <v>10.984575000000001</v>
      </c>
      <c r="W427" s="2">
        <f>ROUND(AJ427,0)</f>
        <v>0</v>
      </c>
      <c r="X427" s="2">
        <f>ROUND(AK427,0)</f>
        <v>457</v>
      </c>
      <c r="Y427" s="2">
        <f>ROUND(AL427,0)</f>
        <v>320</v>
      </c>
      <c r="Z427" s="2"/>
      <c r="AA427" s="2"/>
      <c r="AB427" s="2">
        <f>ROUND(SUMIF(AA412:AA425,"=50210945",O412:O425),0)</f>
        <v>9356</v>
      </c>
      <c r="AC427" s="2">
        <f>ROUND(SUMIF(AA412:AA425,"=50210945",P412:P425),0)</f>
        <v>8193</v>
      </c>
      <c r="AD427" s="2">
        <f>ROUND(SUMIF(AA412:AA425,"=50210945",Q412:Q425),0)</f>
        <v>806</v>
      </c>
      <c r="AE427" s="2">
        <f>ROUND(SUMIF(AA412:AA425,"=50210945",R412:R425),0)</f>
        <v>122</v>
      </c>
      <c r="AF427" s="2">
        <f>ROUND(SUMIF(AA412:AA425,"=50210945",S412:S425),0)</f>
        <v>357</v>
      </c>
      <c r="AG427" s="2">
        <f>ROUND(SUMIF(AA412:AA425,"=50210945",T412:T425),0)</f>
        <v>0</v>
      </c>
      <c r="AH427" s="2">
        <f>SUMIF(AA412:AA425,"=50210945",U412:U425)</f>
        <v>51.707344999999997</v>
      </c>
      <c r="AI427" s="2">
        <f>SUMIF(AA412:AA425,"=50210945",V412:V425)</f>
        <v>10.984575000000001</v>
      </c>
      <c r="AJ427" s="2">
        <f>ROUND(SUMIF(AA412:AA425,"=50210945",W412:W425),0)</f>
        <v>0</v>
      </c>
      <c r="AK427" s="2">
        <f>ROUND(SUMIF(AA412:AA425,"=50210945",X412:X425),0)</f>
        <v>457</v>
      </c>
      <c r="AL427" s="2">
        <f>ROUND(SUMIF(AA412:AA425,"=50210945",Y412:Y425),0)</f>
        <v>320</v>
      </c>
      <c r="AM427" s="2"/>
      <c r="AN427" s="2"/>
      <c r="AO427" s="2">
        <f t="shared" ref="AO427:BD427" si="320">ROUND(BX427,0)</f>
        <v>0</v>
      </c>
      <c r="AP427" s="2">
        <f t="shared" si="320"/>
        <v>0</v>
      </c>
      <c r="AQ427" s="2">
        <f t="shared" si="320"/>
        <v>0</v>
      </c>
      <c r="AR427" s="2">
        <f t="shared" si="320"/>
        <v>10133</v>
      </c>
      <c r="AS427" s="2">
        <f t="shared" si="320"/>
        <v>10133</v>
      </c>
      <c r="AT427" s="2">
        <f t="shared" si="320"/>
        <v>0</v>
      </c>
      <c r="AU427" s="2">
        <f t="shared" si="320"/>
        <v>0</v>
      </c>
      <c r="AV427" s="2">
        <f t="shared" si="320"/>
        <v>8193</v>
      </c>
      <c r="AW427" s="2">
        <f t="shared" si="320"/>
        <v>8193</v>
      </c>
      <c r="AX427" s="2">
        <f t="shared" si="320"/>
        <v>0</v>
      </c>
      <c r="AY427" s="2">
        <f t="shared" si="320"/>
        <v>8193</v>
      </c>
      <c r="AZ427" s="2">
        <f t="shared" si="320"/>
        <v>0</v>
      </c>
      <c r="BA427" s="2">
        <f t="shared" si="320"/>
        <v>0</v>
      </c>
      <c r="BB427" s="2">
        <f t="shared" si="320"/>
        <v>0</v>
      </c>
      <c r="BC427" s="2">
        <f t="shared" si="320"/>
        <v>0</v>
      </c>
      <c r="BD427" s="2">
        <f t="shared" si="320"/>
        <v>157</v>
      </c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>
        <f>ROUND(SUMIF(AA412:AA425,"=50210945",FQ412:FQ425),0)</f>
        <v>0</v>
      </c>
      <c r="BY427" s="2">
        <f>ROUND(SUMIF(AA412:AA425,"=50210945",FR412:FR425),0)</f>
        <v>0</v>
      </c>
      <c r="BZ427" s="2">
        <f>ROUND(SUMIF(AA412:AA425,"=50210945",GL412:GL425),0)</f>
        <v>0</v>
      </c>
      <c r="CA427" s="2">
        <f>ROUND(SUMIF(AA412:AA425,"=50210945",GM412:GM425),0)</f>
        <v>10133</v>
      </c>
      <c r="CB427" s="2">
        <f>ROUND(SUMIF(AA412:AA425,"=50210945",GN412:GN425),0)</f>
        <v>10133</v>
      </c>
      <c r="CC427" s="2">
        <f>ROUND(SUMIF(AA412:AA425,"=50210945",GO412:GO425),0)</f>
        <v>0</v>
      </c>
      <c r="CD427" s="2">
        <f>ROUND(SUMIF(AA412:AA425,"=50210945",GP412:GP425),0)</f>
        <v>0</v>
      </c>
      <c r="CE427" s="2">
        <f>AC427-BX427</f>
        <v>8193</v>
      </c>
      <c r="CF427" s="2">
        <f>AC427-BY427</f>
        <v>8193</v>
      </c>
      <c r="CG427" s="2">
        <f>BX427-BZ427</f>
        <v>0</v>
      </c>
      <c r="CH427" s="2">
        <f>AC427-BX427-BY427+BZ427</f>
        <v>8193</v>
      </c>
      <c r="CI427" s="2">
        <f>BY427-BZ427</f>
        <v>0</v>
      </c>
      <c r="CJ427" s="2">
        <f>ROUND(SUMIF(AA412:AA425,"=50210945",GX412:GX425),0)</f>
        <v>0</v>
      </c>
      <c r="CK427" s="2">
        <f>ROUND(SUMIF(AA412:AA425,"=50210945",GY412:GY425),0)</f>
        <v>0</v>
      </c>
      <c r="CL427" s="2">
        <f>ROUND(SUMIF(AA412:AA425,"=50210945",GZ412:GZ425),0)</f>
        <v>0</v>
      </c>
      <c r="CM427" s="2">
        <f>ROUND(SUMIF(AA412:AA425,"=50210945",HD412:HD425),0)</f>
        <v>157</v>
      </c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3"/>
      <c r="DH427" s="3"/>
      <c r="DI427" s="3"/>
      <c r="DJ427" s="3"/>
      <c r="DK427" s="3"/>
      <c r="DL427" s="3"/>
      <c r="DM427" s="3"/>
      <c r="DN427" s="3"/>
      <c r="DO427" s="3"/>
      <c r="DP427" s="3"/>
      <c r="DQ427" s="3"/>
      <c r="DR427" s="3"/>
      <c r="DS427" s="3"/>
      <c r="DT427" s="3"/>
      <c r="DU427" s="3"/>
      <c r="DV427" s="3"/>
      <c r="DW427" s="3"/>
      <c r="DX427" s="3"/>
      <c r="DY427" s="3"/>
      <c r="DZ427" s="3"/>
      <c r="EA427" s="3"/>
      <c r="EB427" s="3"/>
      <c r="EC427" s="3"/>
      <c r="ED427" s="3"/>
      <c r="EE427" s="3"/>
      <c r="EF427" s="3"/>
      <c r="EG427" s="3"/>
      <c r="EH427" s="3"/>
      <c r="EI427" s="3"/>
      <c r="EJ427" s="3"/>
      <c r="EK427" s="3"/>
      <c r="EL427" s="3"/>
      <c r="EM427" s="3"/>
      <c r="EN427" s="3"/>
      <c r="EO427" s="3"/>
      <c r="EP427" s="3"/>
      <c r="EQ427" s="3"/>
      <c r="ER427" s="3"/>
      <c r="ES427" s="3"/>
      <c r="ET427" s="3"/>
      <c r="EU427" s="3"/>
      <c r="EV427" s="3"/>
      <c r="EW427" s="3"/>
      <c r="EX427" s="3"/>
      <c r="EY427" s="3"/>
      <c r="EZ427" s="3"/>
      <c r="FA427" s="3"/>
      <c r="FB427" s="3"/>
      <c r="FC427" s="3"/>
      <c r="FD427" s="3"/>
      <c r="FE427" s="3"/>
      <c r="FF427" s="3"/>
      <c r="FG427" s="3"/>
      <c r="FH427" s="3"/>
      <c r="FI427" s="3"/>
      <c r="FJ427" s="3"/>
      <c r="FK427" s="3"/>
      <c r="FL427" s="3"/>
      <c r="FM427" s="3"/>
      <c r="FN427" s="3"/>
      <c r="FO427" s="3"/>
      <c r="FP427" s="3"/>
      <c r="FQ427" s="3"/>
      <c r="FR427" s="3"/>
      <c r="FS427" s="3"/>
      <c r="FT427" s="3"/>
      <c r="FU427" s="3"/>
      <c r="FV427" s="3"/>
      <c r="FW427" s="3"/>
      <c r="FX427" s="3"/>
      <c r="FY427" s="3"/>
      <c r="FZ427" s="3"/>
      <c r="GA427" s="3"/>
      <c r="GB427" s="3"/>
      <c r="GC427" s="3"/>
      <c r="GD427" s="3"/>
      <c r="GE427" s="3"/>
      <c r="GF427" s="3"/>
      <c r="GG427" s="3"/>
      <c r="GH427" s="3"/>
      <c r="GI427" s="3"/>
      <c r="GJ427" s="3"/>
      <c r="GK427" s="3"/>
      <c r="GL427" s="3"/>
      <c r="GM427" s="3"/>
      <c r="GN427" s="3"/>
      <c r="GO427" s="3"/>
      <c r="GP427" s="3"/>
      <c r="GQ427" s="3"/>
      <c r="GR427" s="3"/>
      <c r="GS427" s="3"/>
      <c r="GT427" s="3"/>
      <c r="GU427" s="3"/>
      <c r="GV427" s="3"/>
      <c r="GW427" s="3"/>
      <c r="GX427" s="3">
        <v>0</v>
      </c>
    </row>
    <row r="429" spans="1:245" x14ac:dyDescent="0.2">
      <c r="A429" s="4">
        <v>50</v>
      </c>
      <c r="B429" s="4">
        <v>0</v>
      </c>
      <c r="C429" s="4">
        <v>0</v>
      </c>
      <c r="D429" s="4">
        <v>1</v>
      </c>
      <c r="E429" s="4">
        <v>201</v>
      </c>
      <c r="F429" s="4">
        <f>ROUND(Source!O427,O429)</f>
        <v>9356</v>
      </c>
      <c r="G429" s="4" t="s">
        <v>89</v>
      </c>
      <c r="H429" s="4" t="s">
        <v>90</v>
      </c>
      <c r="I429" s="4"/>
      <c r="J429" s="4"/>
      <c r="K429" s="4">
        <v>201</v>
      </c>
      <c r="L429" s="4">
        <v>1</v>
      </c>
      <c r="M429" s="4">
        <v>3</v>
      </c>
      <c r="N429" s="4" t="s">
        <v>3</v>
      </c>
      <c r="O429" s="4">
        <v>0</v>
      </c>
      <c r="P429" s="4"/>
      <c r="Q429" s="4"/>
      <c r="R429" s="4"/>
      <c r="S429" s="4"/>
      <c r="T429" s="4"/>
      <c r="U429" s="4"/>
      <c r="V429" s="4"/>
      <c r="W429" s="4"/>
    </row>
    <row r="430" spans="1:245" x14ac:dyDescent="0.2">
      <c r="A430" s="4">
        <v>50</v>
      </c>
      <c r="B430" s="4">
        <v>0</v>
      </c>
      <c r="C430" s="4">
        <v>0</v>
      </c>
      <c r="D430" s="4">
        <v>1</v>
      </c>
      <c r="E430" s="4">
        <v>202</v>
      </c>
      <c r="F430" s="4">
        <f>ROUND(Source!P427,O430)</f>
        <v>8193</v>
      </c>
      <c r="G430" s="4" t="s">
        <v>91</v>
      </c>
      <c r="H430" s="4" t="s">
        <v>92</v>
      </c>
      <c r="I430" s="4"/>
      <c r="J430" s="4"/>
      <c r="K430" s="4">
        <v>202</v>
      </c>
      <c r="L430" s="4">
        <v>2</v>
      </c>
      <c r="M430" s="4">
        <v>3</v>
      </c>
      <c r="N430" s="4" t="s">
        <v>3</v>
      </c>
      <c r="O430" s="4">
        <v>0</v>
      </c>
      <c r="P430" s="4"/>
      <c r="Q430" s="4"/>
      <c r="R430" s="4"/>
      <c r="S430" s="4"/>
      <c r="T430" s="4"/>
      <c r="U430" s="4"/>
      <c r="V430" s="4"/>
      <c r="W430" s="4"/>
    </row>
    <row r="431" spans="1:245" x14ac:dyDescent="0.2">
      <c r="A431" s="4">
        <v>50</v>
      </c>
      <c r="B431" s="4">
        <v>0</v>
      </c>
      <c r="C431" s="4">
        <v>0</v>
      </c>
      <c r="D431" s="4">
        <v>1</v>
      </c>
      <c r="E431" s="4">
        <v>222</v>
      </c>
      <c r="F431" s="4">
        <f>ROUND(Source!AO427,O431)</f>
        <v>0</v>
      </c>
      <c r="G431" s="4" t="s">
        <v>93</v>
      </c>
      <c r="H431" s="4" t="s">
        <v>94</v>
      </c>
      <c r="I431" s="4"/>
      <c r="J431" s="4"/>
      <c r="K431" s="4">
        <v>222</v>
      </c>
      <c r="L431" s="4">
        <v>3</v>
      </c>
      <c r="M431" s="4">
        <v>3</v>
      </c>
      <c r="N431" s="4" t="s">
        <v>3</v>
      </c>
      <c r="O431" s="4">
        <v>0</v>
      </c>
      <c r="P431" s="4"/>
      <c r="Q431" s="4"/>
      <c r="R431" s="4"/>
      <c r="S431" s="4"/>
      <c r="T431" s="4"/>
      <c r="U431" s="4"/>
      <c r="V431" s="4"/>
      <c r="W431" s="4"/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225</v>
      </c>
      <c r="F432" s="4">
        <f>ROUND(Source!AV427,O432)</f>
        <v>8193</v>
      </c>
      <c r="G432" s="4" t="s">
        <v>95</v>
      </c>
      <c r="H432" s="4" t="s">
        <v>96</v>
      </c>
      <c r="I432" s="4"/>
      <c r="J432" s="4"/>
      <c r="K432" s="4">
        <v>225</v>
      </c>
      <c r="L432" s="4">
        <v>4</v>
      </c>
      <c r="M432" s="4">
        <v>3</v>
      </c>
      <c r="N432" s="4" t="s">
        <v>3</v>
      </c>
      <c r="O432" s="4">
        <v>0</v>
      </c>
      <c r="P432" s="4"/>
      <c r="Q432" s="4"/>
      <c r="R432" s="4"/>
      <c r="S432" s="4"/>
      <c r="T432" s="4"/>
      <c r="U432" s="4"/>
      <c r="V432" s="4"/>
      <c r="W432" s="4"/>
    </row>
    <row r="433" spans="1:23" x14ac:dyDescent="0.2">
      <c r="A433" s="4">
        <v>50</v>
      </c>
      <c r="B433" s="4">
        <v>0</v>
      </c>
      <c r="C433" s="4">
        <v>0</v>
      </c>
      <c r="D433" s="4">
        <v>1</v>
      </c>
      <c r="E433" s="4">
        <v>226</v>
      </c>
      <c r="F433" s="4">
        <f>ROUND(Source!AW427,O433)</f>
        <v>8193</v>
      </c>
      <c r="G433" s="4" t="s">
        <v>97</v>
      </c>
      <c r="H433" s="4" t="s">
        <v>98</v>
      </c>
      <c r="I433" s="4"/>
      <c r="J433" s="4"/>
      <c r="K433" s="4">
        <v>226</v>
      </c>
      <c r="L433" s="4">
        <v>5</v>
      </c>
      <c r="M433" s="4">
        <v>3</v>
      </c>
      <c r="N433" s="4" t="s">
        <v>3</v>
      </c>
      <c r="O433" s="4">
        <v>0</v>
      </c>
      <c r="P433" s="4"/>
      <c r="Q433" s="4"/>
      <c r="R433" s="4"/>
      <c r="S433" s="4"/>
      <c r="T433" s="4"/>
      <c r="U433" s="4"/>
      <c r="V433" s="4"/>
      <c r="W433" s="4"/>
    </row>
    <row r="434" spans="1:23" x14ac:dyDescent="0.2">
      <c r="A434" s="4">
        <v>50</v>
      </c>
      <c r="B434" s="4">
        <v>0</v>
      </c>
      <c r="C434" s="4">
        <v>0</v>
      </c>
      <c r="D434" s="4">
        <v>1</v>
      </c>
      <c r="E434" s="4">
        <v>227</v>
      </c>
      <c r="F434" s="4">
        <f>ROUND(Source!AX427,O434)</f>
        <v>0</v>
      </c>
      <c r="G434" s="4" t="s">
        <v>99</v>
      </c>
      <c r="H434" s="4" t="s">
        <v>100</v>
      </c>
      <c r="I434" s="4"/>
      <c r="J434" s="4"/>
      <c r="K434" s="4">
        <v>227</v>
      </c>
      <c r="L434" s="4">
        <v>6</v>
      </c>
      <c r="M434" s="4">
        <v>3</v>
      </c>
      <c r="N434" s="4" t="s">
        <v>3</v>
      </c>
      <c r="O434" s="4">
        <v>0</v>
      </c>
      <c r="P434" s="4"/>
      <c r="Q434" s="4"/>
      <c r="R434" s="4"/>
      <c r="S434" s="4"/>
      <c r="T434" s="4"/>
      <c r="U434" s="4"/>
      <c r="V434" s="4"/>
      <c r="W434" s="4"/>
    </row>
    <row r="435" spans="1:23" x14ac:dyDescent="0.2">
      <c r="A435" s="4">
        <v>50</v>
      </c>
      <c r="B435" s="4">
        <v>0</v>
      </c>
      <c r="C435" s="4">
        <v>0</v>
      </c>
      <c r="D435" s="4">
        <v>1</v>
      </c>
      <c r="E435" s="4">
        <v>228</v>
      </c>
      <c r="F435" s="4">
        <f>ROUND(Source!AY427,O435)</f>
        <v>8193</v>
      </c>
      <c r="G435" s="4" t="s">
        <v>101</v>
      </c>
      <c r="H435" s="4" t="s">
        <v>102</v>
      </c>
      <c r="I435" s="4"/>
      <c r="J435" s="4"/>
      <c r="K435" s="4">
        <v>228</v>
      </c>
      <c r="L435" s="4">
        <v>7</v>
      </c>
      <c r="M435" s="4">
        <v>3</v>
      </c>
      <c r="N435" s="4" t="s">
        <v>3</v>
      </c>
      <c r="O435" s="4">
        <v>0</v>
      </c>
      <c r="P435" s="4"/>
      <c r="Q435" s="4"/>
      <c r="R435" s="4"/>
      <c r="S435" s="4"/>
      <c r="T435" s="4"/>
      <c r="U435" s="4"/>
      <c r="V435" s="4"/>
      <c r="W435" s="4"/>
    </row>
    <row r="436" spans="1:23" x14ac:dyDescent="0.2">
      <c r="A436" s="4">
        <v>50</v>
      </c>
      <c r="B436" s="4">
        <v>0</v>
      </c>
      <c r="C436" s="4">
        <v>0</v>
      </c>
      <c r="D436" s="4">
        <v>1</v>
      </c>
      <c r="E436" s="4">
        <v>216</v>
      </c>
      <c r="F436" s="4">
        <f>ROUND(Source!AP427,O436)</f>
        <v>0</v>
      </c>
      <c r="G436" s="4" t="s">
        <v>103</v>
      </c>
      <c r="H436" s="4" t="s">
        <v>104</v>
      </c>
      <c r="I436" s="4"/>
      <c r="J436" s="4"/>
      <c r="K436" s="4">
        <v>216</v>
      </c>
      <c r="L436" s="4">
        <v>8</v>
      </c>
      <c r="M436" s="4">
        <v>3</v>
      </c>
      <c r="N436" s="4" t="s">
        <v>3</v>
      </c>
      <c r="O436" s="4">
        <v>0</v>
      </c>
      <c r="P436" s="4"/>
      <c r="Q436" s="4"/>
      <c r="R436" s="4"/>
      <c r="S436" s="4"/>
      <c r="T436" s="4"/>
      <c r="U436" s="4"/>
      <c r="V436" s="4"/>
      <c r="W436" s="4"/>
    </row>
    <row r="437" spans="1:23" x14ac:dyDescent="0.2">
      <c r="A437" s="4">
        <v>50</v>
      </c>
      <c r="B437" s="4">
        <v>0</v>
      </c>
      <c r="C437" s="4">
        <v>0</v>
      </c>
      <c r="D437" s="4">
        <v>1</v>
      </c>
      <c r="E437" s="4">
        <v>223</v>
      </c>
      <c r="F437" s="4">
        <f>ROUND(Source!AQ427,O437)</f>
        <v>0</v>
      </c>
      <c r="G437" s="4" t="s">
        <v>105</v>
      </c>
      <c r="H437" s="4" t="s">
        <v>106</v>
      </c>
      <c r="I437" s="4"/>
      <c r="J437" s="4"/>
      <c r="K437" s="4">
        <v>223</v>
      </c>
      <c r="L437" s="4">
        <v>9</v>
      </c>
      <c r="M437" s="4">
        <v>3</v>
      </c>
      <c r="N437" s="4" t="s">
        <v>3</v>
      </c>
      <c r="O437" s="4">
        <v>0</v>
      </c>
      <c r="P437" s="4"/>
      <c r="Q437" s="4"/>
      <c r="R437" s="4"/>
      <c r="S437" s="4"/>
      <c r="T437" s="4"/>
      <c r="U437" s="4"/>
      <c r="V437" s="4"/>
      <c r="W437" s="4"/>
    </row>
    <row r="438" spans="1:23" x14ac:dyDescent="0.2">
      <c r="A438" s="4">
        <v>50</v>
      </c>
      <c r="B438" s="4">
        <v>0</v>
      </c>
      <c r="C438" s="4">
        <v>0</v>
      </c>
      <c r="D438" s="4">
        <v>1</v>
      </c>
      <c r="E438" s="4">
        <v>229</v>
      </c>
      <c r="F438" s="4">
        <f>ROUND(Source!AZ427,O438)</f>
        <v>0</v>
      </c>
      <c r="G438" s="4" t="s">
        <v>107</v>
      </c>
      <c r="H438" s="4" t="s">
        <v>108</v>
      </c>
      <c r="I438" s="4"/>
      <c r="J438" s="4"/>
      <c r="K438" s="4">
        <v>229</v>
      </c>
      <c r="L438" s="4">
        <v>10</v>
      </c>
      <c r="M438" s="4">
        <v>3</v>
      </c>
      <c r="N438" s="4" t="s">
        <v>3</v>
      </c>
      <c r="O438" s="4">
        <v>0</v>
      </c>
      <c r="P438" s="4"/>
      <c r="Q438" s="4"/>
      <c r="R438" s="4"/>
      <c r="S438" s="4"/>
      <c r="T438" s="4"/>
      <c r="U438" s="4"/>
      <c r="V438" s="4"/>
      <c r="W438" s="4"/>
    </row>
    <row r="439" spans="1:23" x14ac:dyDescent="0.2">
      <c r="A439" s="4">
        <v>50</v>
      </c>
      <c r="B439" s="4">
        <v>0</v>
      </c>
      <c r="C439" s="4">
        <v>0</v>
      </c>
      <c r="D439" s="4">
        <v>1</v>
      </c>
      <c r="E439" s="4">
        <v>203</v>
      </c>
      <c r="F439" s="4">
        <f>ROUND(Source!Q427,O439)</f>
        <v>806</v>
      </c>
      <c r="G439" s="4" t="s">
        <v>109</v>
      </c>
      <c r="H439" s="4" t="s">
        <v>110</v>
      </c>
      <c r="I439" s="4"/>
      <c r="J439" s="4"/>
      <c r="K439" s="4">
        <v>203</v>
      </c>
      <c r="L439" s="4">
        <v>11</v>
      </c>
      <c r="M439" s="4">
        <v>3</v>
      </c>
      <c r="N439" s="4" t="s">
        <v>3</v>
      </c>
      <c r="O439" s="4">
        <v>0</v>
      </c>
      <c r="P439" s="4"/>
      <c r="Q439" s="4"/>
      <c r="R439" s="4"/>
      <c r="S439" s="4"/>
      <c r="T439" s="4"/>
      <c r="U439" s="4"/>
      <c r="V439" s="4"/>
      <c r="W439" s="4"/>
    </row>
    <row r="440" spans="1:23" x14ac:dyDescent="0.2">
      <c r="A440" s="4">
        <v>50</v>
      </c>
      <c r="B440" s="4">
        <v>0</v>
      </c>
      <c r="C440" s="4">
        <v>0</v>
      </c>
      <c r="D440" s="4">
        <v>1</v>
      </c>
      <c r="E440" s="4">
        <v>231</v>
      </c>
      <c r="F440" s="4">
        <f>ROUND(Source!BB427,O440)</f>
        <v>0</v>
      </c>
      <c r="G440" s="4" t="s">
        <v>111</v>
      </c>
      <c r="H440" s="4" t="s">
        <v>112</v>
      </c>
      <c r="I440" s="4"/>
      <c r="J440" s="4"/>
      <c r="K440" s="4">
        <v>231</v>
      </c>
      <c r="L440" s="4">
        <v>12</v>
      </c>
      <c r="M440" s="4">
        <v>3</v>
      </c>
      <c r="N440" s="4" t="s">
        <v>3</v>
      </c>
      <c r="O440" s="4">
        <v>0</v>
      </c>
      <c r="P440" s="4"/>
      <c r="Q440" s="4"/>
      <c r="R440" s="4"/>
      <c r="S440" s="4"/>
      <c r="T440" s="4"/>
      <c r="U440" s="4"/>
      <c r="V440" s="4"/>
      <c r="W440" s="4"/>
    </row>
    <row r="441" spans="1:23" x14ac:dyDescent="0.2">
      <c r="A441" s="4">
        <v>50</v>
      </c>
      <c r="B441" s="4">
        <v>0</v>
      </c>
      <c r="C441" s="4">
        <v>0</v>
      </c>
      <c r="D441" s="4">
        <v>1</v>
      </c>
      <c r="E441" s="4">
        <v>204</v>
      </c>
      <c r="F441" s="4">
        <f>ROUND(Source!R427,O441)</f>
        <v>122</v>
      </c>
      <c r="G441" s="4" t="s">
        <v>113</v>
      </c>
      <c r="H441" s="4" t="s">
        <v>114</v>
      </c>
      <c r="I441" s="4"/>
      <c r="J441" s="4"/>
      <c r="K441" s="4">
        <v>204</v>
      </c>
      <c r="L441" s="4">
        <v>13</v>
      </c>
      <c r="M441" s="4">
        <v>3</v>
      </c>
      <c r="N441" s="4" t="s">
        <v>3</v>
      </c>
      <c r="O441" s="4">
        <v>0</v>
      </c>
      <c r="P441" s="4"/>
      <c r="Q441" s="4"/>
      <c r="R441" s="4"/>
      <c r="S441" s="4"/>
      <c r="T441" s="4"/>
      <c r="U441" s="4"/>
      <c r="V441" s="4"/>
      <c r="W441" s="4"/>
    </row>
    <row r="442" spans="1:23" x14ac:dyDescent="0.2">
      <c r="A442" s="4">
        <v>50</v>
      </c>
      <c r="B442" s="4">
        <v>0</v>
      </c>
      <c r="C442" s="4">
        <v>0</v>
      </c>
      <c r="D442" s="4">
        <v>1</v>
      </c>
      <c r="E442" s="4">
        <v>205</v>
      </c>
      <c r="F442" s="4">
        <f>ROUND(Source!S427,O442)</f>
        <v>357</v>
      </c>
      <c r="G442" s="4" t="s">
        <v>115</v>
      </c>
      <c r="H442" s="4" t="s">
        <v>116</v>
      </c>
      <c r="I442" s="4"/>
      <c r="J442" s="4"/>
      <c r="K442" s="4">
        <v>205</v>
      </c>
      <c r="L442" s="4">
        <v>14</v>
      </c>
      <c r="M442" s="4">
        <v>3</v>
      </c>
      <c r="N442" s="4" t="s">
        <v>3</v>
      </c>
      <c r="O442" s="4">
        <v>0</v>
      </c>
      <c r="P442" s="4"/>
      <c r="Q442" s="4"/>
      <c r="R442" s="4"/>
      <c r="S442" s="4"/>
      <c r="T442" s="4"/>
      <c r="U442" s="4"/>
      <c r="V442" s="4"/>
      <c r="W442" s="4"/>
    </row>
    <row r="443" spans="1:23" x14ac:dyDescent="0.2">
      <c r="A443" s="4">
        <v>50</v>
      </c>
      <c r="B443" s="4">
        <v>0</v>
      </c>
      <c r="C443" s="4">
        <v>0</v>
      </c>
      <c r="D443" s="4">
        <v>1</v>
      </c>
      <c r="E443" s="4">
        <v>232</v>
      </c>
      <c r="F443" s="4">
        <f>ROUND(Source!BC427,O443)</f>
        <v>0</v>
      </c>
      <c r="G443" s="4" t="s">
        <v>117</v>
      </c>
      <c r="H443" s="4" t="s">
        <v>118</v>
      </c>
      <c r="I443" s="4"/>
      <c r="J443" s="4"/>
      <c r="K443" s="4">
        <v>232</v>
      </c>
      <c r="L443" s="4">
        <v>15</v>
      </c>
      <c r="M443" s="4">
        <v>3</v>
      </c>
      <c r="N443" s="4" t="s">
        <v>3</v>
      </c>
      <c r="O443" s="4">
        <v>0</v>
      </c>
      <c r="P443" s="4"/>
      <c r="Q443" s="4"/>
      <c r="R443" s="4"/>
      <c r="S443" s="4"/>
      <c r="T443" s="4"/>
      <c r="U443" s="4"/>
      <c r="V443" s="4"/>
      <c r="W443" s="4"/>
    </row>
    <row r="444" spans="1:23" x14ac:dyDescent="0.2">
      <c r="A444" s="4">
        <v>50</v>
      </c>
      <c r="B444" s="4">
        <v>0</v>
      </c>
      <c r="C444" s="4">
        <v>0</v>
      </c>
      <c r="D444" s="4">
        <v>1</v>
      </c>
      <c r="E444" s="4">
        <v>214</v>
      </c>
      <c r="F444" s="4">
        <f>ROUND(Source!AS427,O444)</f>
        <v>10133</v>
      </c>
      <c r="G444" s="4" t="s">
        <v>119</v>
      </c>
      <c r="H444" s="4" t="s">
        <v>120</v>
      </c>
      <c r="I444" s="4"/>
      <c r="J444" s="4"/>
      <c r="K444" s="4">
        <v>214</v>
      </c>
      <c r="L444" s="4">
        <v>16</v>
      </c>
      <c r="M444" s="4">
        <v>3</v>
      </c>
      <c r="N444" s="4" t="s">
        <v>3</v>
      </c>
      <c r="O444" s="4">
        <v>0</v>
      </c>
      <c r="P444" s="4"/>
      <c r="Q444" s="4"/>
      <c r="R444" s="4"/>
      <c r="S444" s="4"/>
      <c r="T444" s="4"/>
      <c r="U444" s="4"/>
      <c r="V444" s="4"/>
      <c r="W444" s="4"/>
    </row>
    <row r="445" spans="1:23" x14ac:dyDescent="0.2">
      <c r="A445" s="4">
        <v>50</v>
      </c>
      <c r="B445" s="4">
        <v>0</v>
      </c>
      <c r="C445" s="4">
        <v>0</v>
      </c>
      <c r="D445" s="4">
        <v>1</v>
      </c>
      <c r="E445" s="4">
        <v>215</v>
      </c>
      <c r="F445" s="4">
        <f>ROUND(Source!AT427,O445)</f>
        <v>0</v>
      </c>
      <c r="G445" s="4" t="s">
        <v>121</v>
      </c>
      <c r="H445" s="4" t="s">
        <v>122</v>
      </c>
      <c r="I445" s="4"/>
      <c r="J445" s="4"/>
      <c r="K445" s="4">
        <v>215</v>
      </c>
      <c r="L445" s="4">
        <v>17</v>
      </c>
      <c r="M445" s="4">
        <v>3</v>
      </c>
      <c r="N445" s="4" t="s">
        <v>3</v>
      </c>
      <c r="O445" s="4">
        <v>0</v>
      </c>
      <c r="P445" s="4"/>
      <c r="Q445" s="4"/>
      <c r="R445" s="4"/>
      <c r="S445" s="4"/>
      <c r="T445" s="4"/>
      <c r="U445" s="4"/>
      <c r="V445" s="4"/>
      <c r="W445" s="4"/>
    </row>
    <row r="446" spans="1:23" x14ac:dyDescent="0.2">
      <c r="A446" s="4">
        <v>50</v>
      </c>
      <c r="B446" s="4">
        <v>0</v>
      </c>
      <c r="C446" s="4">
        <v>0</v>
      </c>
      <c r="D446" s="4">
        <v>1</v>
      </c>
      <c r="E446" s="4">
        <v>217</v>
      </c>
      <c r="F446" s="4">
        <f>ROUND(Source!AU427,O446)</f>
        <v>0</v>
      </c>
      <c r="G446" s="4" t="s">
        <v>123</v>
      </c>
      <c r="H446" s="4" t="s">
        <v>124</v>
      </c>
      <c r="I446" s="4"/>
      <c r="J446" s="4"/>
      <c r="K446" s="4">
        <v>217</v>
      </c>
      <c r="L446" s="4">
        <v>18</v>
      </c>
      <c r="M446" s="4">
        <v>3</v>
      </c>
      <c r="N446" s="4" t="s">
        <v>3</v>
      </c>
      <c r="O446" s="4">
        <v>0</v>
      </c>
      <c r="P446" s="4"/>
      <c r="Q446" s="4"/>
      <c r="R446" s="4"/>
      <c r="S446" s="4"/>
      <c r="T446" s="4"/>
      <c r="U446" s="4"/>
      <c r="V446" s="4"/>
      <c r="W446" s="4"/>
    </row>
    <row r="447" spans="1:23" x14ac:dyDescent="0.2">
      <c r="A447" s="4">
        <v>50</v>
      </c>
      <c r="B447" s="4">
        <v>0</v>
      </c>
      <c r="C447" s="4">
        <v>0</v>
      </c>
      <c r="D447" s="4">
        <v>1</v>
      </c>
      <c r="E447" s="4">
        <v>230</v>
      </c>
      <c r="F447" s="4">
        <f>ROUND(Source!BA427,O447)</f>
        <v>0</v>
      </c>
      <c r="G447" s="4" t="s">
        <v>125</v>
      </c>
      <c r="H447" s="4" t="s">
        <v>126</v>
      </c>
      <c r="I447" s="4"/>
      <c r="J447" s="4"/>
      <c r="K447" s="4">
        <v>230</v>
      </c>
      <c r="L447" s="4">
        <v>19</v>
      </c>
      <c r="M447" s="4">
        <v>3</v>
      </c>
      <c r="N447" s="4" t="s">
        <v>3</v>
      </c>
      <c r="O447" s="4">
        <v>0</v>
      </c>
      <c r="P447" s="4"/>
      <c r="Q447" s="4"/>
      <c r="R447" s="4"/>
      <c r="S447" s="4"/>
      <c r="T447" s="4"/>
      <c r="U447" s="4"/>
      <c r="V447" s="4"/>
      <c r="W447" s="4"/>
    </row>
    <row r="448" spans="1:23" x14ac:dyDescent="0.2">
      <c r="A448" s="4">
        <v>50</v>
      </c>
      <c r="B448" s="4">
        <v>0</v>
      </c>
      <c r="C448" s="4">
        <v>0</v>
      </c>
      <c r="D448" s="4">
        <v>1</v>
      </c>
      <c r="E448" s="4">
        <v>206</v>
      </c>
      <c r="F448" s="4">
        <f>ROUND(Source!T427,O448)</f>
        <v>0</v>
      </c>
      <c r="G448" s="4" t="s">
        <v>127</v>
      </c>
      <c r="H448" s="4" t="s">
        <v>128</v>
      </c>
      <c r="I448" s="4"/>
      <c r="J448" s="4"/>
      <c r="K448" s="4">
        <v>206</v>
      </c>
      <c r="L448" s="4">
        <v>20</v>
      </c>
      <c r="M448" s="4">
        <v>3</v>
      </c>
      <c r="N448" s="4" t="s">
        <v>3</v>
      </c>
      <c r="O448" s="4">
        <v>0</v>
      </c>
      <c r="P448" s="4"/>
      <c r="Q448" s="4"/>
      <c r="R448" s="4"/>
      <c r="S448" s="4"/>
      <c r="T448" s="4"/>
      <c r="U448" s="4"/>
      <c r="V448" s="4"/>
      <c r="W448" s="4"/>
    </row>
    <row r="449" spans="1:206" x14ac:dyDescent="0.2">
      <c r="A449" s="4">
        <v>50</v>
      </c>
      <c r="B449" s="4">
        <v>0</v>
      </c>
      <c r="C449" s="4">
        <v>0</v>
      </c>
      <c r="D449" s="4">
        <v>1</v>
      </c>
      <c r="E449" s="4">
        <v>207</v>
      </c>
      <c r="F449" s="4">
        <f>Source!U427</f>
        <v>51.707344999999997</v>
      </c>
      <c r="G449" s="4" t="s">
        <v>129</v>
      </c>
      <c r="H449" s="4" t="s">
        <v>130</v>
      </c>
      <c r="I449" s="4"/>
      <c r="J449" s="4"/>
      <c r="K449" s="4">
        <v>207</v>
      </c>
      <c r="L449" s="4">
        <v>21</v>
      </c>
      <c r="M449" s="4">
        <v>3</v>
      </c>
      <c r="N449" s="4" t="s">
        <v>3</v>
      </c>
      <c r="O449" s="4">
        <v>-1</v>
      </c>
      <c r="P449" s="4"/>
      <c r="Q449" s="4"/>
      <c r="R449" s="4"/>
      <c r="S449" s="4"/>
      <c r="T449" s="4"/>
      <c r="U449" s="4"/>
      <c r="V449" s="4"/>
      <c r="W449" s="4"/>
    </row>
    <row r="450" spans="1:206" x14ac:dyDescent="0.2">
      <c r="A450" s="4">
        <v>50</v>
      </c>
      <c r="B450" s="4">
        <v>0</v>
      </c>
      <c r="C450" s="4">
        <v>0</v>
      </c>
      <c r="D450" s="4">
        <v>1</v>
      </c>
      <c r="E450" s="4">
        <v>208</v>
      </c>
      <c r="F450" s="4">
        <f>Source!V427</f>
        <v>10.984575000000001</v>
      </c>
      <c r="G450" s="4" t="s">
        <v>131</v>
      </c>
      <c r="H450" s="4" t="s">
        <v>132</v>
      </c>
      <c r="I450" s="4"/>
      <c r="J450" s="4"/>
      <c r="K450" s="4">
        <v>208</v>
      </c>
      <c r="L450" s="4">
        <v>22</v>
      </c>
      <c r="M450" s="4">
        <v>3</v>
      </c>
      <c r="N450" s="4" t="s">
        <v>3</v>
      </c>
      <c r="O450" s="4">
        <v>-1</v>
      </c>
      <c r="P450" s="4"/>
      <c r="Q450" s="4"/>
      <c r="R450" s="4"/>
      <c r="S450" s="4"/>
      <c r="T450" s="4"/>
      <c r="U450" s="4"/>
      <c r="V450" s="4"/>
      <c r="W450" s="4"/>
    </row>
    <row r="451" spans="1:206" x14ac:dyDescent="0.2">
      <c r="A451" s="4">
        <v>50</v>
      </c>
      <c r="B451" s="4">
        <v>0</v>
      </c>
      <c r="C451" s="4">
        <v>0</v>
      </c>
      <c r="D451" s="4">
        <v>1</v>
      </c>
      <c r="E451" s="4">
        <v>209</v>
      </c>
      <c r="F451" s="4">
        <f>ROUND(Source!W427,O451)</f>
        <v>0</v>
      </c>
      <c r="G451" s="4" t="s">
        <v>133</v>
      </c>
      <c r="H451" s="4" t="s">
        <v>134</v>
      </c>
      <c r="I451" s="4"/>
      <c r="J451" s="4"/>
      <c r="K451" s="4">
        <v>209</v>
      </c>
      <c r="L451" s="4">
        <v>23</v>
      </c>
      <c r="M451" s="4">
        <v>3</v>
      </c>
      <c r="N451" s="4" t="s">
        <v>3</v>
      </c>
      <c r="O451" s="4">
        <v>0</v>
      </c>
      <c r="P451" s="4"/>
      <c r="Q451" s="4"/>
      <c r="R451" s="4"/>
      <c r="S451" s="4"/>
      <c r="T451" s="4"/>
      <c r="U451" s="4"/>
      <c r="V451" s="4"/>
      <c r="W451" s="4"/>
    </row>
    <row r="452" spans="1:206" x14ac:dyDescent="0.2">
      <c r="A452" s="4">
        <v>50</v>
      </c>
      <c r="B452" s="4">
        <v>0</v>
      </c>
      <c r="C452" s="4">
        <v>0</v>
      </c>
      <c r="D452" s="4">
        <v>1</v>
      </c>
      <c r="E452" s="4">
        <v>233</v>
      </c>
      <c r="F452" s="4">
        <f>ROUND(Source!BD427,O452)</f>
        <v>157</v>
      </c>
      <c r="G452" s="4" t="s">
        <v>135</v>
      </c>
      <c r="H452" s="4" t="s">
        <v>136</v>
      </c>
      <c r="I452" s="4"/>
      <c r="J452" s="4"/>
      <c r="K452" s="4">
        <v>233</v>
      </c>
      <c r="L452" s="4">
        <v>24</v>
      </c>
      <c r="M452" s="4">
        <v>3</v>
      </c>
      <c r="N452" s="4" t="s">
        <v>3</v>
      </c>
      <c r="O452" s="4">
        <v>0</v>
      </c>
      <c r="P452" s="4"/>
      <c r="Q452" s="4"/>
      <c r="R452" s="4"/>
      <c r="S452" s="4"/>
      <c r="T452" s="4"/>
      <c r="U452" s="4"/>
      <c r="V452" s="4"/>
      <c r="W452" s="4"/>
    </row>
    <row r="453" spans="1:206" x14ac:dyDescent="0.2">
      <c r="A453" s="4">
        <v>50</v>
      </c>
      <c r="B453" s="4">
        <v>0</v>
      </c>
      <c r="C453" s="4">
        <v>0</v>
      </c>
      <c r="D453" s="4">
        <v>1</v>
      </c>
      <c r="E453" s="4">
        <v>210</v>
      </c>
      <c r="F453" s="4">
        <f>ROUND(Source!X427,O453)</f>
        <v>457</v>
      </c>
      <c r="G453" s="4" t="s">
        <v>137</v>
      </c>
      <c r="H453" s="4" t="s">
        <v>138</v>
      </c>
      <c r="I453" s="4"/>
      <c r="J453" s="4"/>
      <c r="K453" s="4">
        <v>210</v>
      </c>
      <c r="L453" s="4">
        <v>25</v>
      </c>
      <c r="M453" s="4">
        <v>3</v>
      </c>
      <c r="N453" s="4" t="s">
        <v>3</v>
      </c>
      <c r="O453" s="4">
        <v>0</v>
      </c>
      <c r="P453" s="4"/>
      <c r="Q453" s="4"/>
      <c r="R453" s="4"/>
      <c r="S453" s="4"/>
      <c r="T453" s="4"/>
      <c r="U453" s="4"/>
      <c r="V453" s="4"/>
      <c r="W453" s="4"/>
    </row>
    <row r="454" spans="1:206" x14ac:dyDescent="0.2">
      <c r="A454" s="4">
        <v>50</v>
      </c>
      <c r="B454" s="4">
        <v>0</v>
      </c>
      <c r="C454" s="4">
        <v>0</v>
      </c>
      <c r="D454" s="4">
        <v>1</v>
      </c>
      <c r="E454" s="4">
        <v>211</v>
      </c>
      <c r="F454" s="4">
        <f>ROUND(Source!Y427,O454)</f>
        <v>320</v>
      </c>
      <c r="G454" s="4" t="s">
        <v>139</v>
      </c>
      <c r="H454" s="4" t="s">
        <v>140</v>
      </c>
      <c r="I454" s="4"/>
      <c r="J454" s="4"/>
      <c r="K454" s="4">
        <v>211</v>
      </c>
      <c r="L454" s="4">
        <v>26</v>
      </c>
      <c r="M454" s="4">
        <v>3</v>
      </c>
      <c r="N454" s="4" t="s">
        <v>3</v>
      </c>
      <c r="O454" s="4">
        <v>0</v>
      </c>
      <c r="P454" s="4"/>
      <c r="Q454" s="4"/>
      <c r="R454" s="4"/>
      <c r="S454" s="4"/>
      <c r="T454" s="4"/>
      <c r="U454" s="4"/>
      <c r="V454" s="4"/>
      <c r="W454" s="4"/>
    </row>
    <row r="455" spans="1:206" x14ac:dyDescent="0.2">
      <c r="A455" s="4">
        <v>50</v>
      </c>
      <c r="B455" s="4">
        <v>0</v>
      </c>
      <c r="C455" s="4">
        <v>0</v>
      </c>
      <c r="D455" s="4">
        <v>1</v>
      </c>
      <c r="E455" s="4">
        <v>224</v>
      </c>
      <c r="F455" s="4">
        <f>ROUND(Source!AR427,O455)</f>
        <v>10133</v>
      </c>
      <c r="G455" s="4" t="s">
        <v>141</v>
      </c>
      <c r="H455" s="4" t="s">
        <v>142</v>
      </c>
      <c r="I455" s="4"/>
      <c r="J455" s="4"/>
      <c r="K455" s="4">
        <v>224</v>
      </c>
      <c r="L455" s="4">
        <v>27</v>
      </c>
      <c r="M455" s="4">
        <v>3</v>
      </c>
      <c r="N455" s="4" t="s">
        <v>3</v>
      </c>
      <c r="O455" s="4">
        <v>0</v>
      </c>
      <c r="P455" s="4"/>
      <c r="Q455" s="4"/>
      <c r="R455" s="4"/>
      <c r="S455" s="4"/>
      <c r="T455" s="4"/>
      <c r="U455" s="4"/>
      <c r="V455" s="4"/>
      <c r="W455" s="4"/>
    </row>
    <row r="457" spans="1:206" x14ac:dyDescent="0.2">
      <c r="A457" s="2">
        <v>51</v>
      </c>
      <c r="B457" s="2">
        <f>B20</f>
        <v>1</v>
      </c>
      <c r="C457" s="2">
        <f>A20</f>
        <v>3</v>
      </c>
      <c r="D457" s="2">
        <f>ROW(A20)</f>
        <v>20</v>
      </c>
      <c r="E457" s="2"/>
      <c r="F457" s="2" t="str">
        <f>IF(F20&lt;&gt;"",F20,"")</f>
        <v>Новая локальная смета</v>
      </c>
      <c r="G457" s="2" t="str">
        <f>IF(G20&lt;&gt;"",G20,"")</f>
        <v>Новая локальная смета</v>
      </c>
      <c r="H457" s="2">
        <v>0</v>
      </c>
      <c r="I457" s="2"/>
      <c r="J457" s="2"/>
      <c r="K457" s="2"/>
      <c r="L457" s="2"/>
      <c r="M457" s="2"/>
      <c r="N457" s="2"/>
      <c r="O457" s="2">
        <f t="shared" ref="O457:T457" si="321">ROUND(O371+O427+AB457,0)</f>
        <v>514743</v>
      </c>
      <c r="P457" s="2">
        <f t="shared" si="321"/>
        <v>439952</v>
      </c>
      <c r="Q457" s="2">
        <f t="shared" si="321"/>
        <v>62308</v>
      </c>
      <c r="R457" s="2">
        <f t="shared" si="321"/>
        <v>4006</v>
      </c>
      <c r="S457" s="2">
        <f t="shared" si="321"/>
        <v>12483</v>
      </c>
      <c r="T457" s="2">
        <f t="shared" si="321"/>
        <v>0</v>
      </c>
      <c r="U457" s="2">
        <f>U371+U427+AH457</f>
        <v>1795.5392820999998</v>
      </c>
      <c r="V457" s="2">
        <f>V371+V427+AI457</f>
        <v>314.25764325</v>
      </c>
      <c r="W457" s="2">
        <f>ROUND(W371+W427+AJ457,0)</f>
        <v>0</v>
      </c>
      <c r="X457" s="2">
        <f>ROUND(X371+X427+AK457,0)</f>
        <v>21361</v>
      </c>
      <c r="Y457" s="2">
        <f>ROUND(Y371+Y427+AL457,0)</f>
        <v>12164</v>
      </c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>
        <f t="shared" ref="AO457:BD457" si="322">ROUND(AO371+AO427+BX457,0)</f>
        <v>0</v>
      </c>
      <c r="AP457" s="2">
        <f t="shared" si="322"/>
        <v>0</v>
      </c>
      <c r="AQ457" s="2">
        <f t="shared" si="322"/>
        <v>0</v>
      </c>
      <c r="AR457" s="2">
        <f t="shared" si="322"/>
        <v>548268</v>
      </c>
      <c r="AS457" s="2">
        <f t="shared" si="322"/>
        <v>548268</v>
      </c>
      <c r="AT457" s="2">
        <f t="shared" si="322"/>
        <v>0</v>
      </c>
      <c r="AU457" s="2">
        <f t="shared" si="322"/>
        <v>0</v>
      </c>
      <c r="AV457" s="2">
        <f t="shared" si="322"/>
        <v>439952</v>
      </c>
      <c r="AW457" s="2">
        <f t="shared" si="322"/>
        <v>439952</v>
      </c>
      <c r="AX457" s="2">
        <f t="shared" si="322"/>
        <v>0</v>
      </c>
      <c r="AY457" s="2">
        <f t="shared" si="322"/>
        <v>439952</v>
      </c>
      <c r="AZ457" s="2">
        <f t="shared" si="322"/>
        <v>0</v>
      </c>
      <c r="BA457" s="2">
        <f t="shared" si="322"/>
        <v>0</v>
      </c>
      <c r="BB457" s="2">
        <f t="shared" si="322"/>
        <v>0</v>
      </c>
      <c r="BC457" s="2">
        <f t="shared" si="322"/>
        <v>0</v>
      </c>
      <c r="BD457" s="2">
        <f t="shared" si="322"/>
        <v>6832</v>
      </c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3"/>
      <c r="DH457" s="3"/>
      <c r="DI457" s="3"/>
      <c r="DJ457" s="3"/>
      <c r="DK457" s="3"/>
      <c r="DL457" s="3"/>
      <c r="DM457" s="3"/>
      <c r="DN457" s="3"/>
      <c r="DO457" s="3"/>
      <c r="DP457" s="3"/>
      <c r="DQ457" s="3"/>
      <c r="DR457" s="3"/>
      <c r="DS457" s="3"/>
      <c r="DT457" s="3"/>
      <c r="DU457" s="3"/>
      <c r="DV457" s="3"/>
      <c r="DW457" s="3"/>
      <c r="DX457" s="3"/>
      <c r="DY457" s="3"/>
      <c r="DZ457" s="3"/>
      <c r="EA457" s="3"/>
      <c r="EB457" s="3"/>
      <c r="EC457" s="3"/>
      <c r="ED457" s="3"/>
      <c r="EE457" s="3"/>
      <c r="EF457" s="3"/>
      <c r="EG457" s="3"/>
      <c r="EH457" s="3"/>
      <c r="EI457" s="3"/>
      <c r="EJ457" s="3"/>
      <c r="EK457" s="3"/>
      <c r="EL457" s="3"/>
      <c r="EM457" s="3"/>
      <c r="EN457" s="3"/>
      <c r="EO457" s="3"/>
      <c r="EP457" s="3"/>
      <c r="EQ457" s="3"/>
      <c r="ER457" s="3"/>
      <c r="ES457" s="3"/>
      <c r="ET457" s="3"/>
      <c r="EU457" s="3"/>
      <c r="EV457" s="3"/>
      <c r="EW457" s="3"/>
      <c r="EX457" s="3"/>
      <c r="EY457" s="3"/>
      <c r="EZ457" s="3"/>
      <c r="FA457" s="3"/>
      <c r="FB457" s="3"/>
      <c r="FC457" s="3"/>
      <c r="FD457" s="3"/>
      <c r="FE457" s="3"/>
      <c r="FF457" s="3"/>
      <c r="FG457" s="3"/>
      <c r="FH457" s="3"/>
      <c r="FI457" s="3"/>
      <c r="FJ457" s="3"/>
      <c r="FK457" s="3"/>
      <c r="FL457" s="3"/>
      <c r="FM457" s="3"/>
      <c r="FN457" s="3"/>
      <c r="FO457" s="3"/>
      <c r="FP457" s="3"/>
      <c r="FQ457" s="3"/>
      <c r="FR457" s="3"/>
      <c r="FS457" s="3"/>
      <c r="FT457" s="3"/>
      <c r="FU457" s="3"/>
      <c r="FV457" s="3"/>
      <c r="FW457" s="3"/>
      <c r="FX457" s="3"/>
      <c r="FY457" s="3"/>
      <c r="FZ457" s="3"/>
      <c r="GA457" s="3"/>
      <c r="GB457" s="3"/>
      <c r="GC457" s="3"/>
      <c r="GD457" s="3"/>
      <c r="GE457" s="3"/>
      <c r="GF457" s="3"/>
      <c r="GG457" s="3"/>
      <c r="GH457" s="3"/>
      <c r="GI457" s="3"/>
      <c r="GJ457" s="3"/>
      <c r="GK457" s="3"/>
      <c r="GL457" s="3"/>
      <c r="GM457" s="3"/>
      <c r="GN457" s="3"/>
      <c r="GO457" s="3"/>
      <c r="GP457" s="3"/>
      <c r="GQ457" s="3"/>
      <c r="GR457" s="3"/>
      <c r="GS457" s="3"/>
      <c r="GT457" s="3"/>
      <c r="GU457" s="3"/>
      <c r="GV457" s="3"/>
      <c r="GW457" s="3"/>
      <c r="GX457" s="3">
        <v>0</v>
      </c>
    </row>
    <row r="459" spans="1:206" x14ac:dyDescent="0.2">
      <c r="A459" s="4">
        <v>50</v>
      </c>
      <c r="B459" s="4">
        <v>0</v>
      </c>
      <c r="C459" s="4">
        <v>0</v>
      </c>
      <c r="D459" s="4">
        <v>1</v>
      </c>
      <c r="E459" s="4">
        <v>201</v>
      </c>
      <c r="F459" s="4">
        <f>ROUND(Source!O457,O459)</f>
        <v>514743</v>
      </c>
      <c r="G459" s="4" t="s">
        <v>89</v>
      </c>
      <c r="H459" s="4" t="s">
        <v>90</v>
      </c>
      <c r="I459" s="4"/>
      <c r="J459" s="4"/>
      <c r="K459" s="4">
        <v>201</v>
      </c>
      <c r="L459" s="4">
        <v>1</v>
      </c>
      <c r="M459" s="4">
        <v>3</v>
      </c>
      <c r="N459" s="4" t="s">
        <v>3</v>
      </c>
      <c r="O459" s="4">
        <v>0</v>
      </c>
      <c r="P459" s="4"/>
      <c r="Q459" s="4"/>
      <c r="R459" s="4"/>
      <c r="S459" s="4"/>
      <c r="T459" s="4"/>
      <c r="U459" s="4"/>
      <c r="V459" s="4"/>
      <c r="W459" s="4"/>
    </row>
    <row r="460" spans="1:206" x14ac:dyDescent="0.2">
      <c r="A460" s="4">
        <v>50</v>
      </c>
      <c r="B460" s="4">
        <v>0</v>
      </c>
      <c r="C460" s="4">
        <v>0</v>
      </c>
      <c r="D460" s="4">
        <v>1</v>
      </c>
      <c r="E460" s="4">
        <v>202</v>
      </c>
      <c r="F460" s="4">
        <f>ROUND(Source!P457,O460)</f>
        <v>439952</v>
      </c>
      <c r="G460" s="4" t="s">
        <v>91</v>
      </c>
      <c r="H460" s="4" t="s">
        <v>92</v>
      </c>
      <c r="I460" s="4"/>
      <c r="J460" s="4"/>
      <c r="K460" s="4">
        <v>202</v>
      </c>
      <c r="L460" s="4">
        <v>2</v>
      </c>
      <c r="M460" s="4">
        <v>3</v>
      </c>
      <c r="N460" s="4" t="s">
        <v>3</v>
      </c>
      <c r="O460" s="4">
        <v>0</v>
      </c>
      <c r="P460" s="4"/>
      <c r="Q460" s="4"/>
      <c r="R460" s="4"/>
      <c r="S460" s="4"/>
      <c r="T460" s="4"/>
      <c r="U460" s="4"/>
      <c r="V460" s="4"/>
      <c r="W460" s="4"/>
    </row>
    <row r="461" spans="1:206" x14ac:dyDescent="0.2">
      <c r="A461" s="4">
        <v>50</v>
      </c>
      <c r="B461" s="4">
        <v>0</v>
      </c>
      <c r="C461" s="4">
        <v>0</v>
      </c>
      <c r="D461" s="4">
        <v>1</v>
      </c>
      <c r="E461" s="4">
        <v>222</v>
      </c>
      <c r="F461" s="4">
        <f>ROUND(Source!AO457,O461)</f>
        <v>0</v>
      </c>
      <c r="G461" s="4" t="s">
        <v>93</v>
      </c>
      <c r="H461" s="4" t="s">
        <v>94</v>
      </c>
      <c r="I461" s="4"/>
      <c r="J461" s="4"/>
      <c r="K461" s="4">
        <v>222</v>
      </c>
      <c r="L461" s="4">
        <v>3</v>
      </c>
      <c r="M461" s="4">
        <v>3</v>
      </c>
      <c r="N461" s="4" t="s">
        <v>3</v>
      </c>
      <c r="O461" s="4">
        <v>0</v>
      </c>
      <c r="P461" s="4"/>
      <c r="Q461" s="4"/>
      <c r="R461" s="4"/>
      <c r="S461" s="4"/>
      <c r="T461" s="4"/>
      <c r="U461" s="4"/>
      <c r="V461" s="4"/>
      <c r="W461" s="4"/>
    </row>
    <row r="462" spans="1:206" x14ac:dyDescent="0.2">
      <c r="A462" s="4">
        <v>50</v>
      </c>
      <c r="B462" s="4">
        <v>0</v>
      </c>
      <c r="C462" s="4">
        <v>0</v>
      </c>
      <c r="D462" s="4">
        <v>1</v>
      </c>
      <c r="E462" s="4">
        <v>225</v>
      </c>
      <c r="F462" s="4">
        <f>ROUND(Source!AV457,O462)</f>
        <v>439952</v>
      </c>
      <c r="G462" s="4" t="s">
        <v>95</v>
      </c>
      <c r="H462" s="4" t="s">
        <v>96</v>
      </c>
      <c r="I462" s="4"/>
      <c r="J462" s="4"/>
      <c r="K462" s="4">
        <v>225</v>
      </c>
      <c r="L462" s="4">
        <v>4</v>
      </c>
      <c r="M462" s="4">
        <v>3</v>
      </c>
      <c r="N462" s="4" t="s">
        <v>3</v>
      </c>
      <c r="O462" s="4">
        <v>0</v>
      </c>
      <c r="P462" s="4"/>
      <c r="Q462" s="4"/>
      <c r="R462" s="4"/>
      <c r="S462" s="4"/>
      <c r="T462" s="4"/>
      <c r="U462" s="4"/>
      <c r="V462" s="4"/>
      <c r="W462" s="4"/>
    </row>
    <row r="463" spans="1:206" x14ac:dyDescent="0.2">
      <c r="A463" s="4">
        <v>50</v>
      </c>
      <c r="B463" s="4">
        <v>0</v>
      </c>
      <c r="C463" s="4">
        <v>0</v>
      </c>
      <c r="D463" s="4">
        <v>1</v>
      </c>
      <c r="E463" s="4">
        <v>226</v>
      </c>
      <c r="F463" s="4">
        <f>ROUND(Source!AW457,O463)</f>
        <v>439952</v>
      </c>
      <c r="G463" s="4" t="s">
        <v>97</v>
      </c>
      <c r="H463" s="4" t="s">
        <v>98</v>
      </c>
      <c r="I463" s="4"/>
      <c r="J463" s="4"/>
      <c r="K463" s="4">
        <v>226</v>
      </c>
      <c r="L463" s="4">
        <v>5</v>
      </c>
      <c r="M463" s="4">
        <v>3</v>
      </c>
      <c r="N463" s="4" t="s">
        <v>3</v>
      </c>
      <c r="O463" s="4">
        <v>0</v>
      </c>
      <c r="P463" s="4"/>
      <c r="Q463" s="4"/>
      <c r="R463" s="4"/>
      <c r="S463" s="4"/>
      <c r="T463" s="4"/>
      <c r="U463" s="4"/>
      <c r="V463" s="4"/>
      <c r="W463" s="4"/>
    </row>
    <row r="464" spans="1:206" x14ac:dyDescent="0.2">
      <c r="A464" s="4">
        <v>50</v>
      </c>
      <c r="B464" s="4">
        <v>0</v>
      </c>
      <c r="C464" s="4">
        <v>0</v>
      </c>
      <c r="D464" s="4">
        <v>1</v>
      </c>
      <c r="E464" s="4">
        <v>227</v>
      </c>
      <c r="F464" s="4">
        <f>ROUND(Source!AX457,O464)</f>
        <v>0</v>
      </c>
      <c r="G464" s="4" t="s">
        <v>99</v>
      </c>
      <c r="H464" s="4" t="s">
        <v>100</v>
      </c>
      <c r="I464" s="4"/>
      <c r="J464" s="4"/>
      <c r="K464" s="4">
        <v>227</v>
      </c>
      <c r="L464" s="4">
        <v>6</v>
      </c>
      <c r="M464" s="4">
        <v>3</v>
      </c>
      <c r="N464" s="4" t="s">
        <v>3</v>
      </c>
      <c r="O464" s="4">
        <v>0</v>
      </c>
      <c r="P464" s="4"/>
      <c r="Q464" s="4"/>
      <c r="R464" s="4"/>
      <c r="S464" s="4"/>
      <c r="T464" s="4"/>
      <c r="U464" s="4"/>
      <c r="V464" s="4"/>
      <c r="W464" s="4"/>
    </row>
    <row r="465" spans="1:23" x14ac:dyDescent="0.2">
      <c r="A465" s="4">
        <v>50</v>
      </c>
      <c r="B465" s="4">
        <v>0</v>
      </c>
      <c r="C465" s="4">
        <v>0</v>
      </c>
      <c r="D465" s="4">
        <v>1</v>
      </c>
      <c r="E465" s="4">
        <v>228</v>
      </c>
      <c r="F465" s="4">
        <f>ROUND(Source!AY457,O465)</f>
        <v>439952</v>
      </c>
      <c r="G465" s="4" t="s">
        <v>101</v>
      </c>
      <c r="H465" s="4" t="s">
        <v>102</v>
      </c>
      <c r="I465" s="4"/>
      <c r="J465" s="4"/>
      <c r="K465" s="4">
        <v>228</v>
      </c>
      <c r="L465" s="4">
        <v>7</v>
      </c>
      <c r="M465" s="4">
        <v>3</v>
      </c>
      <c r="N465" s="4" t="s">
        <v>3</v>
      </c>
      <c r="O465" s="4">
        <v>0</v>
      </c>
      <c r="P465" s="4"/>
      <c r="Q465" s="4"/>
      <c r="R465" s="4"/>
      <c r="S465" s="4"/>
      <c r="T465" s="4"/>
      <c r="U465" s="4"/>
      <c r="V465" s="4"/>
      <c r="W465" s="4"/>
    </row>
    <row r="466" spans="1:23" x14ac:dyDescent="0.2">
      <c r="A466" s="4">
        <v>50</v>
      </c>
      <c r="B466" s="4">
        <v>0</v>
      </c>
      <c r="C466" s="4">
        <v>0</v>
      </c>
      <c r="D466" s="4">
        <v>1</v>
      </c>
      <c r="E466" s="4">
        <v>216</v>
      </c>
      <c r="F466" s="4">
        <f>ROUND(Source!AP457,O466)</f>
        <v>0</v>
      </c>
      <c r="G466" s="4" t="s">
        <v>103</v>
      </c>
      <c r="H466" s="4" t="s">
        <v>104</v>
      </c>
      <c r="I466" s="4"/>
      <c r="J466" s="4"/>
      <c r="K466" s="4">
        <v>216</v>
      </c>
      <c r="L466" s="4">
        <v>8</v>
      </c>
      <c r="M466" s="4">
        <v>3</v>
      </c>
      <c r="N466" s="4" t="s">
        <v>3</v>
      </c>
      <c r="O466" s="4">
        <v>0</v>
      </c>
      <c r="P466" s="4"/>
      <c r="Q466" s="4"/>
      <c r="R466" s="4"/>
      <c r="S466" s="4"/>
      <c r="T466" s="4"/>
      <c r="U466" s="4"/>
      <c r="V466" s="4"/>
      <c r="W466" s="4"/>
    </row>
    <row r="467" spans="1:23" x14ac:dyDescent="0.2">
      <c r="A467" s="4">
        <v>50</v>
      </c>
      <c r="B467" s="4">
        <v>0</v>
      </c>
      <c r="C467" s="4">
        <v>0</v>
      </c>
      <c r="D467" s="4">
        <v>1</v>
      </c>
      <c r="E467" s="4">
        <v>223</v>
      </c>
      <c r="F467" s="4">
        <f>ROUND(Source!AQ457,O467)</f>
        <v>0</v>
      </c>
      <c r="G467" s="4" t="s">
        <v>105</v>
      </c>
      <c r="H467" s="4" t="s">
        <v>106</v>
      </c>
      <c r="I467" s="4"/>
      <c r="J467" s="4"/>
      <c r="K467" s="4">
        <v>223</v>
      </c>
      <c r="L467" s="4">
        <v>9</v>
      </c>
      <c r="M467" s="4">
        <v>3</v>
      </c>
      <c r="N467" s="4" t="s">
        <v>3</v>
      </c>
      <c r="O467" s="4">
        <v>0</v>
      </c>
      <c r="P467" s="4"/>
      <c r="Q467" s="4"/>
      <c r="R467" s="4"/>
      <c r="S467" s="4"/>
      <c r="T467" s="4"/>
      <c r="U467" s="4"/>
      <c r="V467" s="4"/>
      <c r="W467" s="4"/>
    </row>
    <row r="468" spans="1:23" x14ac:dyDescent="0.2">
      <c r="A468" s="4">
        <v>50</v>
      </c>
      <c r="B468" s="4">
        <v>0</v>
      </c>
      <c r="C468" s="4">
        <v>0</v>
      </c>
      <c r="D468" s="4">
        <v>1</v>
      </c>
      <c r="E468" s="4">
        <v>229</v>
      </c>
      <c r="F468" s="4">
        <f>ROUND(Source!AZ457,O468)</f>
        <v>0</v>
      </c>
      <c r="G468" s="4" t="s">
        <v>107</v>
      </c>
      <c r="H468" s="4" t="s">
        <v>108</v>
      </c>
      <c r="I468" s="4"/>
      <c r="J468" s="4"/>
      <c r="K468" s="4">
        <v>229</v>
      </c>
      <c r="L468" s="4">
        <v>10</v>
      </c>
      <c r="M468" s="4">
        <v>3</v>
      </c>
      <c r="N468" s="4" t="s">
        <v>3</v>
      </c>
      <c r="O468" s="4">
        <v>0</v>
      </c>
      <c r="P468" s="4"/>
      <c r="Q468" s="4"/>
      <c r="R468" s="4"/>
      <c r="S468" s="4"/>
      <c r="T468" s="4"/>
      <c r="U468" s="4"/>
      <c r="V468" s="4"/>
      <c r="W468" s="4"/>
    </row>
    <row r="469" spans="1:23" x14ac:dyDescent="0.2">
      <c r="A469" s="4">
        <v>50</v>
      </c>
      <c r="B469" s="4">
        <v>0</v>
      </c>
      <c r="C469" s="4">
        <v>0</v>
      </c>
      <c r="D469" s="4">
        <v>1</v>
      </c>
      <c r="E469" s="4">
        <v>203</v>
      </c>
      <c r="F469" s="4">
        <f>ROUND(Source!Q457,O469)</f>
        <v>62308</v>
      </c>
      <c r="G469" s="4" t="s">
        <v>109</v>
      </c>
      <c r="H469" s="4" t="s">
        <v>110</v>
      </c>
      <c r="I469" s="4"/>
      <c r="J469" s="4"/>
      <c r="K469" s="4">
        <v>203</v>
      </c>
      <c r="L469" s="4">
        <v>11</v>
      </c>
      <c r="M469" s="4">
        <v>3</v>
      </c>
      <c r="N469" s="4" t="s">
        <v>3</v>
      </c>
      <c r="O469" s="4">
        <v>0</v>
      </c>
      <c r="P469" s="4"/>
      <c r="Q469" s="4"/>
      <c r="R469" s="4"/>
      <c r="S469" s="4"/>
      <c r="T469" s="4"/>
      <c r="U469" s="4"/>
      <c r="V469" s="4"/>
      <c r="W469" s="4"/>
    </row>
    <row r="470" spans="1:23" x14ac:dyDescent="0.2">
      <c r="A470" s="4">
        <v>50</v>
      </c>
      <c r="B470" s="4">
        <v>0</v>
      </c>
      <c r="C470" s="4">
        <v>0</v>
      </c>
      <c r="D470" s="4">
        <v>1</v>
      </c>
      <c r="E470" s="4">
        <v>231</v>
      </c>
      <c r="F470" s="4">
        <f>ROUND(Source!BB457,O470)</f>
        <v>0</v>
      </c>
      <c r="G470" s="4" t="s">
        <v>111</v>
      </c>
      <c r="H470" s="4" t="s">
        <v>112</v>
      </c>
      <c r="I470" s="4"/>
      <c r="J470" s="4"/>
      <c r="K470" s="4">
        <v>231</v>
      </c>
      <c r="L470" s="4">
        <v>12</v>
      </c>
      <c r="M470" s="4">
        <v>3</v>
      </c>
      <c r="N470" s="4" t="s">
        <v>3</v>
      </c>
      <c r="O470" s="4">
        <v>0</v>
      </c>
      <c r="P470" s="4"/>
      <c r="Q470" s="4"/>
      <c r="R470" s="4"/>
      <c r="S470" s="4"/>
      <c r="T470" s="4"/>
      <c r="U470" s="4"/>
      <c r="V470" s="4"/>
      <c r="W470" s="4"/>
    </row>
    <row r="471" spans="1:23" x14ac:dyDescent="0.2">
      <c r="A471" s="4">
        <v>50</v>
      </c>
      <c r="B471" s="4">
        <v>0</v>
      </c>
      <c r="C471" s="4">
        <v>0</v>
      </c>
      <c r="D471" s="4">
        <v>1</v>
      </c>
      <c r="E471" s="4">
        <v>204</v>
      </c>
      <c r="F471" s="4">
        <f>ROUND(Source!R457,O471)</f>
        <v>4006</v>
      </c>
      <c r="G471" s="4" t="s">
        <v>113</v>
      </c>
      <c r="H471" s="4" t="s">
        <v>114</v>
      </c>
      <c r="I471" s="4"/>
      <c r="J471" s="4"/>
      <c r="K471" s="4">
        <v>204</v>
      </c>
      <c r="L471" s="4">
        <v>13</v>
      </c>
      <c r="M471" s="4">
        <v>3</v>
      </c>
      <c r="N471" s="4" t="s">
        <v>3</v>
      </c>
      <c r="O471" s="4">
        <v>0</v>
      </c>
      <c r="P471" s="4"/>
      <c r="Q471" s="4"/>
      <c r="R471" s="4"/>
      <c r="S471" s="4"/>
      <c r="T471" s="4"/>
      <c r="U471" s="4"/>
      <c r="V471" s="4"/>
      <c r="W471" s="4"/>
    </row>
    <row r="472" spans="1:23" x14ac:dyDescent="0.2">
      <c r="A472" s="4">
        <v>50</v>
      </c>
      <c r="B472" s="4">
        <v>0</v>
      </c>
      <c r="C472" s="4">
        <v>0</v>
      </c>
      <c r="D472" s="4">
        <v>1</v>
      </c>
      <c r="E472" s="4">
        <v>205</v>
      </c>
      <c r="F472" s="4">
        <f>ROUND(Source!S457,O472)</f>
        <v>12483</v>
      </c>
      <c r="G472" s="4" t="s">
        <v>115</v>
      </c>
      <c r="H472" s="4" t="s">
        <v>116</v>
      </c>
      <c r="I472" s="4"/>
      <c r="J472" s="4"/>
      <c r="K472" s="4">
        <v>205</v>
      </c>
      <c r="L472" s="4">
        <v>14</v>
      </c>
      <c r="M472" s="4">
        <v>3</v>
      </c>
      <c r="N472" s="4" t="s">
        <v>3</v>
      </c>
      <c r="O472" s="4">
        <v>0</v>
      </c>
      <c r="P472" s="4"/>
      <c r="Q472" s="4"/>
      <c r="R472" s="4"/>
      <c r="S472" s="4"/>
      <c r="T472" s="4"/>
      <c r="U472" s="4"/>
      <c r="V472" s="4"/>
      <c r="W472" s="4"/>
    </row>
    <row r="473" spans="1:23" x14ac:dyDescent="0.2">
      <c r="A473" s="4">
        <v>50</v>
      </c>
      <c r="B473" s="4">
        <v>0</v>
      </c>
      <c r="C473" s="4">
        <v>0</v>
      </c>
      <c r="D473" s="4">
        <v>1</v>
      </c>
      <c r="E473" s="4">
        <v>232</v>
      </c>
      <c r="F473" s="4">
        <f>ROUND(Source!BC457,O473)</f>
        <v>0</v>
      </c>
      <c r="G473" s="4" t="s">
        <v>117</v>
      </c>
      <c r="H473" s="4" t="s">
        <v>118</v>
      </c>
      <c r="I473" s="4"/>
      <c r="J473" s="4"/>
      <c r="K473" s="4">
        <v>232</v>
      </c>
      <c r="L473" s="4">
        <v>15</v>
      </c>
      <c r="M473" s="4">
        <v>3</v>
      </c>
      <c r="N473" s="4" t="s">
        <v>3</v>
      </c>
      <c r="O473" s="4">
        <v>0</v>
      </c>
      <c r="P473" s="4"/>
      <c r="Q473" s="4"/>
      <c r="R473" s="4"/>
      <c r="S473" s="4"/>
      <c r="T473" s="4"/>
      <c r="U473" s="4"/>
      <c r="V473" s="4"/>
      <c r="W473" s="4"/>
    </row>
    <row r="474" spans="1:23" x14ac:dyDescent="0.2">
      <c r="A474" s="4">
        <v>50</v>
      </c>
      <c r="B474" s="4">
        <v>0</v>
      </c>
      <c r="C474" s="4">
        <v>0</v>
      </c>
      <c r="D474" s="4">
        <v>1</v>
      </c>
      <c r="E474" s="4">
        <v>214</v>
      </c>
      <c r="F474" s="4">
        <f>ROUND(Source!AS457,O474)</f>
        <v>548268</v>
      </c>
      <c r="G474" s="4" t="s">
        <v>119</v>
      </c>
      <c r="H474" s="4" t="s">
        <v>120</v>
      </c>
      <c r="I474" s="4"/>
      <c r="J474" s="4"/>
      <c r="K474" s="4">
        <v>214</v>
      </c>
      <c r="L474" s="4">
        <v>16</v>
      </c>
      <c r="M474" s="4">
        <v>3</v>
      </c>
      <c r="N474" s="4" t="s">
        <v>3</v>
      </c>
      <c r="O474" s="4">
        <v>0</v>
      </c>
      <c r="P474" s="4"/>
      <c r="Q474" s="4"/>
      <c r="R474" s="4"/>
      <c r="S474" s="4"/>
      <c r="T474" s="4"/>
      <c r="U474" s="4"/>
      <c r="V474" s="4"/>
      <c r="W474" s="4"/>
    </row>
    <row r="475" spans="1:23" x14ac:dyDescent="0.2">
      <c r="A475" s="4">
        <v>50</v>
      </c>
      <c r="B475" s="4">
        <v>0</v>
      </c>
      <c r="C475" s="4">
        <v>0</v>
      </c>
      <c r="D475" s="4">
        <v>1</v>
      </c>
      <c r="E475" s="4">
        <v>215</v>
      </c>
      <c r="F475" s="4">
        <f>ROUND(Source!AT457,O475)</f>
        <v>0</v>
      </c>
      <c r="G475" s="4" t="s">
        <v>121</v>
      </c>
      <c r="H475" s="4" t="s">
        <v>122</v>
      </c>
      <c r="I475" s="4"/>
      <c r="J475" s="4"/>
      <c r="K475" s="4">
        <v>215</v>
      </c>
      <c r="L475" s="4">
        <v>17</v>
      </c>
      <c r="M475" s="4">
        <v>3</v>
      </c>
      <c r="N475" s="4" t="s">
        <v>3</v>
      </c>
      <c r="O475" s="4">
        <v>0</v>
      </c>
      <c r="P475" s="4"/>
      <c r="Q475" s="4"/>
      <c r="R475" s="4"/>
      <c r="S475" s="4"/>
      <c r="T475" s="4"/>
      <c r="U475" s="4"/>
      <c r="V475" s="4"/>
      <c r="W475" s="4"/>
    </row>
    <row r="476" spans="1:23" x14ac:dyDescent="0.2">
      <c r="A476" s="4">
        <v>50</v>
      </c>
      <c r="B476" s="4">
        <v>0</v>
      </c>
      <c r="C476" s="4">
        <v>0</v>
      </c>
      <c r="D476" s="4">
        <v>1</v>
      </c>
      <c r="E476" s="4">
        <v>217</v>
      </c>
      <c r="F476" s="4">
        <f>ROUND(Source!AU457,O476)</f>
        <v>0</v>
      </c>
      <c r="G476" s="4" t="s">
        <v>123</v>
      </c>
      <c r="H476" s="4" t="s">
        <v>124</v>
      </c>
      <c r="I476" s="4"/>
      <c r="J476" s="4"/>
      <c r="K476" s="4">
        <v>217</v>
      </c>
      <c r="L476" s="4">
        <v>18</v>
      </c>
      <c r="M476" s="4">
        <v>3</v>
      </c>
      <c r="N476" s="4" t="s">
        <v>3</v>
      </c>
      <c r="O476" s="4">
        <v>0</v>
      </c>
      <c r="P476" s="4"/>
      <c r="Q476" s="4"/>
      <c r="R476" s="4"/>
      <c r="S476" s="4"/>
      <c r="T476" s="4"/>
      <c r="U476" s="4"/>
      <c r="V476" s="4"/>
      <c r="W476" s="4"/>
    </row>
    <row r="477" spans="1:23" x14ac:dyDescent="0.2">
      <c r="A477" s="4">
        <v>50</v>
      </c>
      <c r="B477" s="4">
        <v>0</v>
      </c>
      <c r="C477" s="4">
        <v>0</v>
      </c>
      <c r="D477" s="4">
        <v>1</v>
      </c>
      <c r="E477" s="4">
        <v>230</v>
      </c>
      <c r="F477" s="4">
        <f>ROUND(Source!BA457,O477)</f>
        <v>0</v>
      </c>
      <c r="G477" s="4" t="s">
        <v>125</v>
      </c>
      <c r="H477" s="4" t="s">
        <v>126</v>
      </c>
      <c r="I477" s="4"/>
      <c r="J477" s="4"/>
      <c r="K477" s="4">
        <v>230</v>
      </c>
      <c r="L477" s="4">
        <v>19</v>
      </c>
      <c r="M477" s="4">
        <v>3</v>
      </c>
      <c r="N477" s="4" t="s">
        <v>3</v>
      </c>
      <c r="O477" s="4">
        <v>0</v>
      </c>
      <c r="P477" s="4"/>
      <c r="Q477" s="4"/>
      <c r="R477" s="4"/>
      <c r="S477" s="4"/>
      <c r="T477" s="4"/>
      <c r="U477" s="4"/>
      <c r="V477" s="4"/>
      <c r="W477" s="4"/>
    </row>
    <row r="478" spans="1:23" x14ac:dyDescent="0.2">
      <c r="A478" s="4">
        <v>50</v>
      </c>
      <c r="B478" s="4">
        <v>0</v>
      </c>
      <c r="C478" s="4">
        <v>0</v>
      </c>
      <c r="D478" s="4">
        <v>1</v>
      </c>
      <c r="E478" s="4">
        <v>206</v>
      </c>
      <c r="F478" s="4">
        <f>ROUND(Source!T457,O478)</f>
        <v>0</v>
      </c>
      <c r="G478" s="4" t="s">
        <v>127</v>
      </c>
      <c r="H478" s="4" t="s">
        <v>128</v>
      </c>
      <c r="I478" s="4"/>
      <c r="J478" s="4"/>
      <c r="K478" s="4">
        <v>206</v>
      </c>
      <c r="L478" s="4">
        <v>20</v>
      </c>
      <c r="M478" s="4">
        <v>3</v>
      </c>
      <c r="N478" s="4" t="s">
        <v>3</v>
      </c>
      <c r="O478" s="4">
        <v>0</v>
      </c>
      <c r="P478" s="4"/>
      <c r="Q478" s="4"/>
      <c r="R478" s="4"/>
      <c r="S478" s="4"/>
      <c r="T478" s="4"/>
      <c r="U478" s="4"/>
      <c r="V478" s="4"/>
      <c r="W478" s="4"/>
    </row>
    <row r="479" spans="1:23" x14ac:dyDescent="0.2">
      <c r="A479" s="4">
        <v>50</v>
      </c>
      <c r="B479" s="4">
        <v>0</v>
      </c>
      <c r="C479" s="4">
        <v>0</v>
      </c>
      <c r="D479" s="4">
        <v>1</v>
      </c>
      <c r="E479" s="4">
        <v>207</v>
      </c>
      <c r="F479" s="4">
        <f>Source!U457</f>
        <v>1795.5392820999998</v>
      </c>
      <c r="G479" s="4" t="s">
        <v>129</v>
      </c>
      <c r="H479" s="4" t="s">
        <v>130</v>
      </c>
      <c r="I479" s="4"/>
      <c r="J479" s="4"/>
      <c r="K479" s="4">
        <v>207</v>
      </c>
      <c r="L479" s="4">
        <v>21</v>
      </c>
      <c r="M479" s="4">
        <v>3</v>
      </c>
      <c r="N479" s="4" t="s">
        <v>3</v>
      </c>
      <c r="O479" s="4">
        <v>-1</v>
      </c>
      <c r="P479" s="4"/>
      <c r="Q479" s="4"/>
      <c r="R479" s="4"/>
      <c r="S479" s="4"/>
      <c r="T479" s="4"/>
      <c r="U479" s="4"/>
      <c r="V479" s="4"/>
      <c r="W479" s="4"/>
    </row>
    <row r="480" spans="1:23" x14ac:dyDescent="0.2">
      <c r="A480" s="4">
        <v>50</v>
      </c>
      <c r="B480" s="4">
        <v>0</v>
      </c>
      <c r="C480" s="4">
        <v>0</v>
      </c>
      <c r="D480" s="4">
        <v>1</v>
      </c>
      <c r="E480" s="4">
        <v>208</v>
      </c>
      <c r="F480" s="4">
        <f>Source!V457</f>
        <v>314.25764325</v>
      </c>
      <c r="G480" s="4" t="s">
        <v>131</v>
      </c>
      <c r="H480" s="4" t="s">
        <v>132</v>
      </c>
      <c r="I480" s="4"/>
      <c r="J480" s="4"/>
      <c r="K480" s="4">
        <v>208</v>
      </c>
      <c r="L480" s="4">
        <v>22</v>
      </c>
      <c r="M480" s="4">
        <v>3</v>
      </c>
      <c r="N480" s="4" t="s">
        <v>3</v>
      </c>
      <c r="O480" s="4">
        <v>-1</v>
      </c>
      <c r="P480" s="4"/>
      <c r="Q480" s="4"/>
      <c r="R480" s="4"/>
      <c r="S480" s="4"/>
      <c r="T480" s="4"/>
      <c r="U480" s="4"/>
      <c r="V480" s="4"/>
      <c r="W480" s="4"/>
    </row>
    <row r="481" spans="1:206" x14ac:dyDescent="0.2">
      <c r="A481" s="4">
        <v>50</v>
      </c>
      <c r="B481" s="4">
        <v>0</v>
      </c>
      <c r="C481" s="4">
        <v>0</v>
      </c>
      <c r="D481" s="4">
        <v>1</v>
      </c>
      <c r="E481" s="4">
        <v>209</v>
      </c>
      <c r="F481" s="4">
        <f>ROUND(Source!W457,O481)</f>
        <v>0</v>
      </c>
      <c r="G481" s="4" t="s">
        <v>133</v>
      </c>
      <c r="H481" s="4" t="s">
        <v>134</v>
      </c>
      <c r="I481" s="4"/>
      <c r="J481" s="4"/>
      <c r="K481" s="4">
        <v>209</v>
      </c>
      <c r="L481" s="4">
        <v>23</v>
      </c>
      <c r="M481" s="4">
        <v>3</v>
      </c>
      <c r="N481" s="4" t="s">
        <v>3</v>
      </c>
      <c r="O481" s="4">
        <v>0</v>
      </c>
      <c r="P481" s="4"/>
      <c r="Q481" s="4"/>
      <c r="R481" s="4"/>
      <c r="S481" s="4"/>
      <c r="T481" s="4"/>
      <c r="U481" s="4"/>
      <c r="V481" s="4"/>
      <c r="W481" s="4"/>
    </row>
    <row r="482" spans="1:206" x14ac:dyDescent="0.2">
      <c r="A482" s="4">
        <v>50</v>
      </c>
      <c r="B482" s="4">
        <v>0</v>
      </c>
      <c r="C482" s="4">
        <v>0</v>
      </c>
      <c r="D482" s="4">
        <v>1</v>
      </c>
      <c r="E482" s="4">
        <v>233</v>
      </c>
      <c r="F482" s="4">
        <f>ROUND(Source!BD457,O482)</f>
        <v>6832</v>
      </c>
      <c r="G482" s="4" t="s">
        <v>135</v>
      </c>
      <c r="H482" s="4" t="s">
        <v>136</v>
      </c>
      <c r="I482" s="4"/>
      <c r="J482" s="4"/>
      <c r="K482" s="4">
        <v>233</v>
      </c>
      <c r="L482" s="4">
        <v>24</v>
      </c>
      <c r="M482" s="4">
        <v>3</v>
      </c>
      <c r="N482" s="4" t="s">
        <v>3</v>
      </c>
      <c r="O482" s="4">
        <v>0</v>
      </c>
      <c r="P482" s="4"/>
      <c r="Q482" s="4"/>
      <c r="R482" s="4"/>
      <c r="S482" s="4"/>
      <c r="T482" s="4"/>
      <c r="U482" s="4"/>
      <c r="V482" s="4"/>
      <c r="W482" s="4"/>
    </row>
    <row r="483" spans="1:206" x14ac:dyDescent="0.2">
      <c r="A483" s="4">
        <v>50</v>
      </c>
      <c r="B483" s="4">
        <v>1</v>
      </c>
      <c r="C483" s="4">
        <v>0</v>
      </c>
      <c r="D483" s="4">
        <v>1</v>
      </c>
      <c r="E483" s="4">
        <v>210</v>
      </c>
      <c r="F483" s="4">
        <f>ROUND(Source!X457,O483)</f>
        <v>21361</v>
      </c>
      <c r="G483" s="4" t="s">
        <v>137</v>
      </c>
      <c r="H483" s="4" t="s">
        <v>138</v>
      </c>
      <c r="I483" s="4"/>
      <c r="J483" s="4"/>
      <c r="K483" s="4">
        <v>210</v>
      </c>
      <c r="L483" s="4">
        <v>25</v>
      </c>
      <c r="M483" s="4">
        <v>0</v>
      </c>
      <c r="N483" s="4" t="s">
        <v>3</v>
      </c>
      <c r="O483" s="4">
        <v>0</v>
      </c>
      <c r="P483" s="4"/>
      <c r="Q483" s="4"/>
      <c r="R483" s="4"/>
      <c r="S483" s="4"/>
      <c r="T483" s="4"/>
      <c r="U483" s="4"/>
      <c r="V483" s="4"/>
      <c r="W483" s="4"/>
    </row>
    <row r="484" spans="1:206" x14ac:dyDescent="0.2">
      <c r="A484" s="4">
        <v>50</v>
      </c>
      <c r="B484" s="4">
        <v>1</v>
      </c>
      <c r="C484" s="4">
        <v>0</v>
      </c>
      <c r="D484" s="4">
        <v>1</v>
      </c>
      <c r="E484" s="4">
        <v>211</v>
      </c>
      <c r="F484" s="4">
        <f>ROUND(Source!Y457,O484)</f>
        <v>12164</v>
      </c>
      <c r="G484" s="4" t="s">
        <v>139</v>
      </c>
      <c r="H484" s="4" t="s">
        <v>140</v>
      </c>
      <c r="I484" s="4"/>
      <c r="J484" s="4"/>
      <c r="K484" s="4">
        <v>211</v>
      </c>
      <c r="L484" s="4">
        <v>26</v>
      </c>
      <c r="M484" s="4">
        <v>0</v>
      </c>
      <c r="N484" s="4" t="s">
        <v>3</v>
      </c>
      <c r="O484" s="4">
        <v>0</v>
      </c>
      <c r="P484" s="4"/>
      <c r="Q484" s="4"/>
      <c r="R484" s="4"/>
      <c r="S484" s="4"/>
      <c r="T484" s="4"/>
      <c r="U484" s="4"/>
      <c r="V484" s="4"/>
      <c r="W484" s="4"/>
    </row>
    <row r="485" spans="1:206" x14ac:dyDescent="0.2">
      <c r="A485" s="4">
        <v>50</v>
      </c>
      <c r="B485" s="4">
        <v>0</v>
      </c>
      <c r="C485" s="4">
        <v>0</v>
      </c>
      <c r="D485" s="4">
        <v>1</v>
      </c>
      <c r="E485" s="4">
        <v>224</v>
      </c>
      <c r="F485" s="4">
        <f>ROUND(Source!AR457,O485)</f>
        <v>548268</v>
      </c>
      <c r="G485" s="4" t="s">
        <v>141</v>
      </c>
      <c r="H485" s="4" t="s">
        <v>142</v>
      </c>
      <c r="I485" s="4"/>
      <c r="J485" s="4"/>
      <c r="K485" s="4">
        <v>224</v>
      </c>
      <c r="L485" s="4">
        <v>27</v>
      </c>
      <c r="M485" s="4">
        <v>3</v>
      </c>
      <c r="N485" s="4" t="s">
        <v>3</v>
      </c>
      <c r="O485" s="4">
        <v>0</v>
      </c>
      <c r="P485" s="4"/>
      <c r="Q485" s="4"/>
      <c r="R485" s="4"/>
      <c r="S485" s="4"/>
      <c r="T485" s="4"/>
      <c r="U485" s="4"/>
      <c r="V485" s="4"/>
      <c r="W485" s="4"/>
    </row>
    <row r="486" spans="1:206" x14ac:dyDescent="0.2">
      <c r="A486" s="4">
        <v>50</v>
      </c>
      <c r="B486" s="4">
        <v>1</v>
      </c>
      <c r="C486" s="4">
        <v>0</v>
      </c>
      <c r="D486" s="4">
        <v>2</v>
      </c>
      <c r="E486" s="4">
        <v>0</v>
      </c>
      <c r="F486" s="4">
        <f>ROUND((F485-F466)*8.21,O486)</f>
        <v>4501280.28</v>
      </c>
      <c r="G486" s="4" t="s">
        <v>313</v>
      </c>
      <c r="H486" s="4" t="s">
        <v>380</v>
      </c>
      <c r="I486" s="4"/>
      <c r="J486" s="4"/>
      <c r="K486" s="4">
        <v>212</v>
      </c>
      <c r="L486" s="4">
        <v>28</v>
      </c>
      <c r="M486" s="4">
        <v>0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/>
    </row>
    <row r="487" spans="1:206" x14ac:dyDescent="0.2">
      <c r="A487" s="4">
        <v>50</v>
      </c>
      <c r="B487" s="4">
        <v>1</v>
      </c>
      <c r="C487" s="4">
        <v>0</v>
      </c>
      <c r="D487" s="4">
        <v>2</v>
      </c>
      <c r="E487" s="4">
        <v>0</v>
      </c>
      <c r="F487" s="4">
        <f>ROUND(F486*0.2,O487)</f>
        <v>900256.06</v>
      </c>
      <c r="G487" s="4" t="s">
        <v>315</v>
      </c>
      <c r="H487" s="4" t="s">
        <v>316</v>
      </c>
      <c r="I487" s="4"/>
      <c r="J487" s="4"/>
      <c r="K487" s="4">
        <v>212</v>
      </c>
      <c r="L487" s="4">
        <v>29</v>
      </c>
      <c r="M487" s="4">
        <v>0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/>
    </row>
    <row r="488" spans="1:206" x14ac:dyDescent="0.2">
      <c r="A488" s="4">
        <v>50</v>
      </c>
      <c r="B488" s="4">
        <v>1</v>
      </c>
      <c r="C488" s="4">
        <v>0</v>
      </c>
      <c r="D488" s="4">
        <v>2</v>
      </c>
      <c r="E488" s="4">
        <v>0</v>
      </c>
      <c r="F488" s="4">
        <f>ROUND(F486+F487,O488)</f>
        <v>5401536.3399999999</v>
      </c>
      <c r="G488" s="4" t="s">
        <v>317</v>
      </c>
      <c r="H488" s="4" t="s">
        <v>318</v>
      </c>
      <c r="I488" s="4"/>
      <c r="J488" s="4"/>
      <c r="K488" s="4">
        <v>212</v>
      </c>
      <c r="L488" s="4">
        <v>30</v>
      </c>
      <c r="M488" s="4">
        <v>0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/>
    </row>
    <row r="489" spans="1:206" x14ac:dyDescent="0.2">
      <c r="A489" s="4">
        <v>50</v>
      </c>
      <c r="B489" s="4">
        <v>1</v>
      </c>
      <c r="C489" s="4">
        <v>0</v>
      </c>
      <c r="D489" s="4">
        <v>2</v>
      </c>
      <c r="E489" s="4">
        <v>0</v>
      </c>
      <c r="F489" s="4">
        <v>0</v>
      </c>
      <c r="G489" s="4" t="s">
        <v>3</v>
      </c>
      <c r="H489" s="4" t="s">
        <v>3</v>
      </c>
      <c r="I489" s="4"/>
      <c r="J489" s="4"/>
      <c r="K489" s="4">
        <v>212</v>
      </c>
      <c r="L489" s="4">
        <v>31</v>
      </c>
      <c r="M489" s="4">
        <v>0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/>
    </row>
    <row r="490" spans="1:206" x14ac:dyDescent="0.2">
      <c r="A490" s="4">
        <v>50</v>
      </c>
      <c r="B490" s="4">
        <v>1</v>
      </c>
      <c r="C490" s="4">
        <v>0</v>
      </c>
      <c r="D490" s="4">
        <v>2</v>
      </c>
      <c r="E490" s="4">
        <v>0</v>
      </c>
      <c r="F490" s="4">
        <v>0</v>
      </c>
      <c r="G490" s="4" t="s">
        <v>3</v>
      </c>
      <c r="H490" s="4" t="s">
        <v>3</v>
      </c>
      <c r="I490" s="4"/>
      <c r="J490" s="4"/>
      <c r="K490" s="4">
        <v>212</v>
      </c>
      <c r="L490" s="4">
        <v>32</v>
      </c>
      <c r="M490" s="4">
        <v>0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/>
    </row>
    <row r="491" spans="1:206" x14ac:dyDescent="0.2">
      <c r="A491" s="4">
        <v>50</v>
      </c>
      <c r="B491" s="4">
        <v>1</v>
      </c>
      <c r="C491" s="4">
        <v>0</v>
      </c>
      <c r="D491" s="4">
        <v>2</v>
      </c>
      <c r="E491" s="4">
        <v>0</v>
      </c>
      <c r="F491" s="4">
        <v>0</v>
      </c>
      <c r="G491" s="4" t="s">
        <v>3</v>
      </c>
      <c r="H491" s="4" t="s">
        <v>381</v>
      </c>
      <c r="I491" s="4"/>
      <c r="J491" s="4"/>
      <c r="K491" s="4">
        <v>212</v>
      </c>
      <c r="L491" s="4">
        <v>33</v>
      </c>
      <c r="M491" s="4">
        <v>0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/>
    </row>
    <row r="493" spans="1:206" x14ac:dyDescent="0.2">
      <c r="A493" s="2">
        <v>51</v>
      </c>
      <c r="B493" s="2">
        <f>B12</f>
        <v>552</v>
      </c>
      <c r="C493" s="2">
        <f>A12</f>
        <v>1</v>
      </c>
      <c r="D493" s="2">
        <f>ROW(A12)</f>
        <v>12</v>
      </c>
      <c r="E493" s="2"/>
      <c r="F493" s="2" t="str">
        <f>IF(F12&lt;&gt;"",F12,"")</f>
        <v>Новый объект_(Копия)_(Копия)</v>
      </c>
      <c r="G493" s="2" t="str">
        <f>IF(G12&lt;&gt;"",G12,"")</f>
        <v>4.  №14а по ул. Черняховского</v>
      </c>
      <c r="H493" s="2">
        <v>0</v>
      </c>
      <c r="I493" s="2"/>
      <c r="J493" s="2"/>
      <c r="K493" s="2"/>
      <c r="L493" s="2"/>
      <c r="M493" s="2"/>
      <c r="N493" s="2"/>
      <c r="O493" s="2">
        <f t="shared" ref="O493:T493" si="323">ROUND(O457,0)</f>
        <v>514743</v>
      </c>
      <c r="P493" s="2">
        <f t="shared" si="323"/>
        <v>439952</v>
      </c>
      <c r="Q493" s="2">
        <f t="shared" si="323"/>
        <v>62308</v>
      </c>
      <c r="R493" s="2">
        <f t="shared" si="323"/>
        <v>4006</v>
      </c>
      <c r="S493" s="2">
        <f t="shared" si="323"/>
        <v>12483</v>
      </c>
      <c r="T493" s="2">
        <f t="shared" si="323"/>
        <v>0</v>
      </c>
      <c r="U493" s="2">
        <f>U457</f>
        <v>1795.5392820999998</v>
      </c>
      <c r="V493" s="2">
        <f>V457</f>
        <v>314.25764325</v>
      </c>
      <c r="W493" s="2">
        <f>ROUND(W457,0)</f>
        <v>0</v>
      </c>
      <c r="X493" s="2">
        <f>ROUND(X457,0)</f>
        <v>21361</v>
      </c>
      <c r="Y493" s="2">
        <f>ROUND(Y457,0)</f>
        <v>12164</v>
      </c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>
        <f t="shared" ref="AO493:BD493" si="324">ROUND(AO457,0)</f>
        <v>0</v>
      </c>
      <c r="AP493" s="2">
        <f t="shared" si="324"/>
        <v>0</v>
      </c>
      <c r="AQ493" s="2">
        <f t="shared" si="324"/>
        <v>0</v>
      </c>
      <c r="AR493" s="2">
        <f t="shared" si="324"/>
        <v>548268</v>
      </c>
      <c r="AS493" s="2">
        <f t="shared" si="324"/>
        <v>548268</v>
      </c>
      <c r="AT493" s="2">
        <f t="shared" si="324"/>
        <v>0</v>
      </c>
      <c r="AU493" s="2">
        <f t="shared" si="324"/>
        <v>0</v>
      </c>
      <c r="AV493" s="2">
        <f t="shared" si="324"/>
        <v>439952</v>
      </c>
      <c r="AW493" s="2">
        <f t="shared" si="324"/>
        <v>439952</v>
      </c>
      <c r="AX493" s="2">
        <f t="shared" si="324"/>
        <v>0</v>
      </c>
      <c r="AY493" s="2">
        <f t="shared" si="324"/>
        <v>439952</v>
      </c>
      <c r="AZ493" s="2">
        <f t="shared" si="324"/>
        <v>0</v>
      </c>
      <c r="BA493" s="2">
        <f t="shared" si="324"/>
        <v>0</v>
      </c>
      <c r="BB493" s="2">
        <f t="shared" si="324"/>
        <v>0</v>
      </c>
      <c r="BC493" s="2">
        <f t="shared" si="324"/>
        <v>0</v>
      </c>
      <c r="BD493" s="2">
        <f t="shared" si="324"/>
        <v>6832</v>
      </c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3"/>
      <c r="DH493" s="3"/>
      <c r="DI493" s="3"/>
      <c r="DJ493" s="3"/>
      <c r="DK493" s="3"/>
      <c r="DL493" s="3"/>
      <c r="DM493" s="3"/>
      <c r="DN493" s="3"/>
      <c r="DO493" s="3"/>
      <c r="DP493" s="3"/>
      <c r="DQ493" s="3"/>
      <c r="DR493" s="3"/>
      <c r="DS493" s="3"/>
      <c r="DT493" s="3"/>
      <c r="DU493" s="3"/>
      <c r="DV493" s="3"/>
      <c r="DW493" s="3"/>
      <c r="DX493" s="3"/>
      <c r="DY493" s="3"/>
      <c r="DZ493" s="3"/>
      <c r="EA493" s="3"/>
      <c r="EB493" s="3"/>
      <c r="EC493" s="3"/>
      <c r="ED493" s="3"/>
      <c r="EE493" s="3"/>
      <c r="EF493" s="3"/>
      <c r="EG493" s="3"/>
      <c r="EH493" s="3"/>
      <c r="EI493" s="3"/>
      <c r="EJ493" s="3"/>
      <c r="EK493" s="3"/>
      <c r="EL493" s="3"/>
      <c r="EM493" s="3"/>
      <c r="EN493" s="3"/>
      <c r="EO493" s="3"/>
      <c r="EP493" s="3"/>
      <c r="EQ493" s="3"/>
      <c r="ER493" s="3"/>
      <c r="ES493" s="3"/>
      <c r="ET493" s="3"/>
      <c r="EU493" s="3"/>
      <c r="EV493" s="3"/>
      <c r="EW493" s="3"/>
      <c r="EX493" s="3"/>
      <c r="EY493" s="3"/>
      <c r="EZ493" s="3"/>
      <c r="FA493" s="3"/>
      <c r="FB493" s="3"/>
      <c r="FC493" s="3"/>
      <c r="FD493" s="3"/>
      <c r="FE493" s="3"/>
      <c r="FF493" s="3"/>
      <c r="FG493" s="3"/>
      <c r="FH493" s="3"/>
      <c r="FI493" s="3"/>
      <c r="FJ493" s="3"/>
      <c r="FK493" s="3"/>
      <c r="FL493" s="3"/>
      <c r="FM493" s="3"/>
      <c r="FN493" s="3"/>
      <c r="FO493" s="3"/>
      <c r="FP493" s="3"/>
      <c r="FQ493" s="3"/>
      <c r="FR493" s="3"/>
      <c r="FS493" s="3"/>
      <c r="FT493" s="3"/>
      <c r="FU493" s="3"/>
      <c r="FV493" s="3"/>
      <c r="FW493" s="3"/>
      <c r="FX493" s="3"/>
      <c r="FY493" s="3"/>
      <c r="FZ493" s="3"/>
      <c r="GA493" s="3"/>
      <c r="GB493" s="3"/>
      <c r="GC493" s="3"/>
      <c r="GD493" s="3"/>
      <c r="GE493" s="3"/>
      <c r="GF493" s="3"/>
      <c r="GG493" s="3"/>
      <c r="GH493" s="3"/>
      <c r="GI493" s="3"/>
      <c r="GJ493" s="3"/>
      <c r="GK493" s="3"/>
      <c r="GL493" s="3"/>
      <c r="GM493" s="3"/>
      <c r="GN493" s="3"/>
      <c r="GO493" s="3"/>
      <c r="GP493" s="3"/>
      <c r="GQ493" s="3"/>
      <c r="GR493" s="3"/>
      <c r="GS493" s="3"/>
      <c r="GT493" s="3"/>
      <c r="GU493" s="3"/>
      <c r="GV493" s="3"/>
      <c r="GW493" s="3"/>
      <c r="GX493" s="3">
        <v>0</v>
      </c>
    </row>
    <row r="495" spans="1:206" x14ac:dyDescent="0.2">
      <c r="A495" s="4">
        <v>50</v>
      </c>
      <c r="B495" s="4">
        <v>0</v>
      </c>
      <c r="C495" s="4">
        <v>0</v>
      </c>
      <c r="D495" s="4">
        <v>1</v>
      </c>
      <c r="E495" s="4">
        <v>201</v>
      </c>
      <c r="F495" s="4">
        <f>ROUND(Source!O493,O495)</f>
        <v>514743</v>
      </c>
      <c r="G495" s="4" t="s">
        <v>89</v>
      </c>
      <c r="H495" s="4" t="s">
        <v>90</v>
      </c>
      <c r="I495" s="4"/>
      <c r="J495" s="4"/>
      <c r="K495" s="4">
        <v>201</v>
      </c>
      <c r="L495" s="4">
        <v>1</v>
      </c>
      <c r="M495" s="4">
        <v>3</v>
      </c>
      <c r="N495" s="4" t="s">
        <v>3</v>
      </c>
      <c r="O495" s="4">
        <v>0</v>
      </c>
      <c r="P495" s="4"/>
      <c r="Q495" s="4"/>
      <c r="R495" s="4"/>
      <c r="S495" s="4"/>
      <c r="T495" s="4"/>
      <c r="U495" s="4"/>
      <c r="V495" s="4"/>
      <c r="W495" s="4"/>
    </row>
    <row r="496" spans="1:206" x14ac:dyDescent="0.2">
      <c r="A496" s="4">
        <v>50</v>
      </c>
      <c r="B496" s="4">
        <v>0</v>
      </c>
      <c r="C496" s="4">
        <v>0</v>
      </c>
      <c r="D496" s="4">
        <v>1</v>
      </c>
      <c r="E496" s="4">
        <v>202</v>
      </c>
      <c r="F496" s="4">
        <f>ROUND(Source!P493,O496)</f>
        <v>439952</v>
      </c>
      <c r="G496" s="4" t="s">
        <v>91</v>
      </c>
      <c r="H496" s="4" t="s">
        <v>92</v>
      </c>
      <c r="I496" s="4"/>
      <c r="J496" s="4"/>
      <c r="K496" s="4">
        <v>202</v>
      </c>
      <c r="L496" s="4">
        <v>2</v>
      </c>
      <c r="M496" s="4">
        <v>3</v>
      </c>
      <c r="N496" s="4" t="s">
        <v>3</v>
      </c>
      <c r="O496" s="4">
        <v>0</v>
      </c>
      <c r="P496" s="4"/>
      <c r="Q496" s="4"/>
      <c r="R496" s="4"/>
      <c r="S496" s="4"/>
      <c r="T496" s="4"/>
      <c r="U496" s="4"/>
      <c r="V496" s="4"/>
      <c r="W496" s="4"/>
    </row>
    <row r="497" spans="1:23" x14ac:dyDescent="0.2">
      <c r="A497" s="4">
        <v>50</v>
      </c>
      <c r="B497" s="4">
        <v>0</v>
      </c>
      <c r="C497" s="4">
        <v>0</v>
      </c>
      <c r="D497" s="4">
        <v>1</v>
      </c>
      <c r="E497" s="4">
        <v>222</v>
      </c>
      <c r="F497" s="4">
        <f>ROUND(Source!AO493,O497)</f>
        <v>0</v>
      </c>
      <c r="G497" s="4" t="s">
        <v>93</v>
      </c>
      <c r="H497" s="4" t="s">
        <v>94</v>
      </c>
      <c r="I497" s="4"/>
      <c r="J497" s="4"/>
      <c r="K497" s="4">
        <v>222</v>
      </c>
      <c r="L497" s="4">
        <v>3</v>
      </c>
      <c r="M497" s="4">
        <v>3</v>
      </c>
      <c r="N497" s="4" t="s">
        <v>3</v>
      </c>
      <c r="O497" s="4">
        <v>0</v>
      </c>
      <c r="P497" s="4"/>
      <c r="Q497" s="4"/>
      <c r="R497" s="4"/>
      <c r="S497" s="4"/>
      <c r="T497" s="4"/>
      <c r="U497" s="4"/>
      <c r="V497" s="4"/>
      <c r="W497" s="4"/>
    </row>
    <row r="498" spans="1:23" x14ac:dyDescent="0.2">
      <c r="A498" s="4">
        <v>50</v>
      </c>
      <c r="B498" s="4">
        <v>0</v>
      </c>
      <c r="C498" s="4">
        <v>0</v>
      </c>
      <c r="D498" s="4">
        <v>1</v>
      </c>
      <c r="E498" s="4">
        <v>225</v>
      </c>
      <c r="F498" s="4">
        <f>ROUND(Source!AV493,O498)</f>
        <v>439952</v>
      </c>
      <c r="G498" s="4" t="s">
        <v>95</v>
      </c>
      <c r="H498" s="4" t="s">
        <v>96</v>
      </c>
      <c r="I498" s="4"/>
      <c r="J498" s="4"/>
      <c r="K498" s="4">
        <v>225</v>
      </c>
      <c r="L498" s="4">
        <v>4</v>
      </c>
      <c r="M498" s="4">
        <v>3</v>
      </c>
      <c r="N498" s="4" t="s">
        <v>3</v>
      </c>
      <c r="O498" s="4">
        <v>0</v>
      </c>
      <c r="P498" s="4"/>
      <c r="Q498" s="4"/>
      <c r="R498" s="4"/>
      <c r="S498" s="4"/>
      <c r="T498" s="4"/>
      <c r="U498" s="4"/>
      <c r="V498" s="4"/>
      <c r="W498" s="4"/>
    </row>
    <row r="499" spans="1:23" x14ac:dyDescent="0.2">
      <c r="A499" s="4">
        <v>50</v>
      </c>
      <c r="B499" s="4">
        <v>0</v>
      </c>
      <c r="C499" s="4">
        <v>0</v>
      </c>
      <c r="D499" s="4">
        <v>1</v>
      </c>
      <c r="E499" s="4">
        <v>226</v>
      </c>
      <c r="F499" s="4">
        <f>ROUND(Source!AW493,O499)</f>
        <v>439952</v>
      </c>
      <c r="G499" s="4" t="s">
        <v>97</v>
      </c>
      <c r="H499" s="4" t="s">
        <v>98</v>
      </c>
      <c r="I499" s="4"/>
      <c r="J499" s="4"/>
      <c r="K499" s="4">
        <v>226</v>
      </c>
      <c r="L499" s="4">
        <v>5</v>
      </c>
      <c r="M499" s="4">
        <v>3</v>
      </c>
      <c r="N499" s="4" t="s">
        <v>3</v>
      </c>
      <c r="O499" s="4">
        <v>0</v>
      </c>
      <c r="P499" s="4"/>
      <c r="Q499" s="4"/>
      <c r="R499" s="4"/>
      <c r="S499" s="4"/>
      <c r="T499" s="4"/>
      <c r="U499" s="4"/>
      <c r="V499" s="4"/>
      <c r="W499" s="4"/>
    </row>
    <row r="500" spans="1:23" x14ac:dyDescent="0.2">
      <c r="A500" s="4">
        <v>50</v>
      </c>
      <c r="B500" s="4">
        <v>0</v>
      </c>
      <c r="C500" s="4">
        <v>0</v>
      </c>
      <c r="D500" s="4">
        <v>1</v>
      </c>
      <c r="E500" s="4">
        <v>227</v>
      </c>
      <c r="F500" s="4">
        <f>ROUND(Source!AX493,O500)</f>
        <v>0</v>
      </c>
      <c r="G500" s="4" t="s">
        <v>99</v>
      </c>
      <c r="H500" s="4" t="s">
        <v>100</v>
      </c>
      <c r="I500" s="4"/>
      <c r="J500" s="4"/>
      <c r="K500" s="4">
        <v>227</v>
      </c>
      <c r="L500" s="4">
        <v>6</v>
      </c>
      <c r="M500" s="4">
        <v>3</v>
      </c>
      <c r="N500" s="4" t="s">
        <v>3</v>
      </c>
      <c r="O500" s="4">
        <v>0</v>
      </c>
      <c r="P500" s="4"/>
      <c r="Q500" s="4"/>
      <c r="R500" s="4"/>
      <c r="S500" s="4"/>
      <c r="T500" s="4"/>
      <c r="U500" s="4"/>
      <c r="V500" s="4"/>
      <c r="W500" s="4"/>
    </row>
    <row r="501" spans="1:23" x14ac:dyDescent="0.2">
      <c r="A501" s="4">
        <v>50</v>
      </c>
      <c r="B501" s="4">
        <v>0</v>
      </c>
      <c r="C501" s="4">
        <v>0</v>
      </c>
      <c r="D501" s="4">
        <v>1</v>
      </c>
      <c r="E501" s="4">
        <v>228</v>
      </c>
      <c r="F501" s="4">
        <f>ROUND(Source!AY493,O501)</f>
        <v>439952</v>
      </c>
      <c r="G501" s="4" t="s">
        <v>101</v>
      </c>
      <c r="H501" s="4" t="s">
        <v>102</v>
      </c>
      <c r="I501" s="4"/>
      <c r="J501" s="4"/>
      <c r="K501" s="4">
        <v>228</v>
      </c>
      <c r="L501" s="4">
        <v>7</v>
      </c>
      <c r="M501" s="4">
        <v>3</v>
      </c>
      <c r="N501" s="4" t="s">
        <v>3</v>
      </c>
      <c r="O501" s="4">
        <v>0</v>
      </c>
      <c r="P501" s="4"/>
      <c r="Q501" s="4"/>
      <c r="R501" s="4"/>
      <c r="S501" s="4"/>
      <c r="T501" s="4"/>
      <c r="U501" s="4"/>
      <c r="V501" s="4"/>
      <c r="W501" s="4"/>
    </row>
    <row r="502" spans="1:23" x14ac:dyDescent="0.2">
      <c r="A502" s="4">
        <v>50</v>
      </c>
      <c r="B502" s="4">
        <v>0</v>
      </c>
      <c r="C502" s="4">
        <v>0</v>
      </c>
      <c r="D502" s="4">
        <v>1</v>
      </c>
      <c r="E502" s="4">
        <v>216</v>
      </c>
      <c r="F502" s="4">
        <f>ROUND(Source!AP493,O502)</f>
        <v>0</v>
      </c>
      <c r="G502" s="4" t="s">
        <v>103</v>
      </c>
      <c r="H502" s="4" t="s">
        <v>104</v>
      </c>
      <c r="I502" s="4"/>
      <c r="J502" s="4"/>
      <c r="K502" s="4">
        <v>216</v>
      </c>
      <c r="L502" s="4">
        <v>8</v>
      </c>
      <c r="M502" s="4">
        <v>3</v>
      </c>
      <c r="N502" s="4" t="s">
        <v>3</v>
      </c>
      <c r="O502" s="4">
        <v>0</v>
      </c>
      <c r="P502" s="4"/>
      <c r="Q502" s="4"/>
      <c r="R502" s="4"/>
      <c r="S502" s="4"/>
      <c r="T502" s="4"/>
      <c r="U502" s="4"/>
      <c r="V502" s="4"/>
      <c r="W502" s="4"/>
    </row>
    <row r="503" spans="1:23" x14ac:dyDescent="0.2">
      <c r="A503" s="4">
        <v>50</v>
      </c>
      <c r="B503" s="4">
        <v>0</v>
      </c>
      <c r="C503" s="4">
        <v>0</v>
      </c>
      <c r="D503" s="4">
        <v>1</v>
      </c>
      <c r="E503" s="4">
        <v>223</v>
      </c>
      <c r="F503" s="4">
        <f>ROUND(Source!AQ493,O503)</f>
        <v>0</v>
      </c>
      <c r="G503" s="4" t="s">
        <v>105</v>
      </c>
      <c r="H503" s="4" t="s">
        <v>106</v>
      </c>
      <c r="I503" s="4"/>
      <c r="J503" s="4"/>
      <c r="K503" s="4">
        <v>223</v>
      </c>
      <c r="L503" s="4">
        <v>9</v>
      </c>
      <c r="M503" s="4">
        <v>3</v>
      </c>
      <c r="N503" s="4" t="s">
        <v>3</v>
      </c>
      <c r="O503" s="4">
        <v>0</v>
      </c>
      <c r="P503" s="4"/>
      <c r="Q503" s="4"/>
      <c r="R503" s="4"/>
      <c r="S503" s="4"/>
      <c r="T503" s="4"/>
      <c r="U503" s="4"/>
      <c r="V503" s="4"/>
      <c r="W503" s="4"/>
    </row>
    <row r="504" spans="1:23" x14ac:dyDescent="0.2">
      <c r="A504" s="4">
        <v>50</v>
      </c>
      <c r="B504" s="4">
        <v>0</v>
      </c>
      <c r="C504" s="4">
        <v>0</v>
      </c>
      <c r="D504" s="4">
        <v>1</v>
      </c>
      <c r="E504" s="4">
        <v>229</v>
      </c>
      <c r="F504" s="4">
        <f>ROUND(Source!AZ493,O504)</f>
        <v>0</v>
      </c>
      <c r="G504" s="4" t="s">
        <v>107</v>
      </c>
      <c r="H504" s="4" t="s">
        <v>108</v>
      </c>
      <c r="I504" s="4"/>
      <c r="J504" s="4"/>
      <c r="K504" s="4">
        <v>229</v>
      </c>
      <c r="L504" s="4">
        <v>10</v>
      </c>
      <c r="M504" s="4">
        <v>3</v>
      </c>
      <c r="N504" s="4" t="s">
        <v>3</v>
      </c>
      <c r="O504" s="4">
        <v>0</v>
      </c>
      <c r="P504" s="4"/>
      <c r="Q504" s="4"/>
      <c r="R504" s="4"/>
      <c r="S504" s="4"/>
      <c r="T504" s="4"/>
      <c r="U504" s="4"/>
      <c r="V504" s="4"/>
      <c r="W504" s="4"/>
    </row>
    <row r="505" spans="1:23" x14ac:dyDescent="0.2">
      <c r="A505" s="4">
        <v>50</v>
      </c>
      <c r="B505" s="4">
        <v>0</v>
      </c>
      <c r="C505" s="4">
        <v>0</v>
      </c>
      <c r="D505" s="4">
        <v>1</v>
      </c>
      <c r="E505" s="4">
        <v>203</v>
      </c>
      <c r="F505" s="4">
        <f>ROUND(Source!Q493,O505)</f>
        <v>62308</v>
      </c>
      <c r="G505" s="4" t="s">
        <v>109</v>
      </c>
      <c r="H505" s="4" t="s">
        <v>110</v>
      </c>
      <c r="I505" s="4"/>
      <c r="J505" s="4"/>
      <c r="K505" s="4">
        <v>203</v>
      </c>
      <c r="L505" s="4">
        <v>11</v>
      </c>
      <c r="M505" s="4">
        <v>3</v>
      </c>
      <c r="N505" s="4" t="s">
        <v>3</v>
      </c>
      <c r="O505" s="4">
        <v>0</v>
      </c>
      <c r="P505" s="4"/>
      <c r="Q505" s="4"/>
      <c r="R505" s="4"/>
      <c r="S505" s="4"/>
      <c r="T505" s="4"/>
      <c r="U505" s="4"/>
      <c r="V505" s="4"/>
      <c r="W505" s="4"/>
    </row>
    <row r="506" spans="1:23" x14ac:dyDescent="0.2">
      <c r="A506" s="4">
        <v>50</v>
      </c>
      <c r="B506" s="4">
        <v>0</v>
      </c>
      <c r="C506" s="4">
        <v>0</v>
      </c>
      <c r="D506" s="4">
        <v>1</v>
      </c>
      <c r="E506" s="4">
        <v>231</v>
      </c>
      <c r="F506" s="4">
        <f>ROUND(Source!BB493,O506)</f>
        <v>0</v>
      </c>
      <c r="G506" s="4" t="s">
        <v>111</v>
      </c>
      <c r="H506" s="4" t="s">
        <v>112</v>
      </c>
      <c r="I506" s="4"/>
      <c r="J506" s="4"/>
      <c r="K506" s="4">
        <v>231</v>
      </c>
      <c r="L506" s="4">
        <v>12</v>
      </c>
      <c r="M506" s="4">
        <v>3</v>
      </c>
      <c r="N506" s="4" t="s">
        <v>3</v>
      </c>
      <c r="O506" s="4">
        <v>0</v>
      </c>
      <c r="P506" s="4"/>
      <c r="Q506" s="4"/>
      <c r="R506" s="4"/>
      <c r="S506" s="4"/>
      <c r="T506" s="4"/>
      <c r="U506" s="4"/>
      <c r="V506" s="4"/>
      <c r="W506" s="4"/>
    </row>
    <row r="507" spans="1:23" x14ac:dyDescent="0.2">
      <c r="A507" s="4">
        <v>50</v>
      </c>
      <c r="B507" s="4">
        <v>0</v>
      </c>
      <c r="C507" s="4">
        <v>0</v>
      </c>
      <c r="D507" s="4">
        <v>1</v>
      </c>
      <c r="E507" s="4">
        <v>204</v>
      </c>
      <c r="F507" s="4">
        <f>ROUND(Source!R493,O507)</f>
        <v>4006</v>
      </c>
      <c r="G507" s="4" t="s">
        <v>113</v>
      </c>
      <c r="H507" s="4" t="s">
        <v>114</v>
      </c>
      <c r="I507" s="4"/>
      <c r="J507" s="4"/>
      <c r="K507" s="4">
        <v>204</v>
      </c>
      <c r="L507" s="4">
        <v>13</v>
      </c>
      <c r="M507" s="4">
        <v>3</v>
      </c>
      <c r="N507" s="4" t="s">
        <v>3</v>
      </c>
      <c r="O507" s="4">
        <v>0</v>
      </c>
      <c r="P507" s="4"/>
      <c r="Q507" s="4"/>
      <c r="R507" s="4"/>
      <c r="S507" s="4"/>
      <c r="T507" s="4"/>
      <c r="U507" s="4"/>
      <c r="V507" s="4"/>
      <c r="W507" s="4"/>
    </row>
    <row r="508" spans="1:23" x14ac:dyDescent="0.2">
      <c r="A508" s="4">
        <v>50</v>
      </c>
      <c r="B508" s="4">
        <v>0</v>
      </c>
      <c r="C508" s="4">
        <v>0</v>
      </c>
      <c r="D508" s="4">
        <v>1</v>
      </c>
      <c r="E508" s="4">
        <v>205</v>
      </c>
      <c r="F508" s="4">
        <f>ROUND(Source!S493,O508)</f>
        <v>12483</v>
      </c>
      <c r="G508" s="4" t="s">
        <v>115</v>
      </c>
      <c r="H508" s="4" t="s">
        <v>116</v>
      </c>
      <c r="I508" s="4"/>
      <c r="J508" s="4"/>
      <c r="K508" s="4">
        <v>205</v>
      </c>
      <c r="L508" s="4">
        <v>14</v>
      </c>
      <c r="M508" s="4">
        <v>3</v>
      </c>
      <c r="N508" s="4" t="s">
        <v>3</v>
      </c>
      <c r="O508" s="4">
        <v>0</v>
      </c>
      <c r="P508" s="4"/>
      <c r="Q508" s="4"/>
      <c r="R508" s="4"/>
      <c r="S508" s="4"/>
      <c r="T508" s="4"/>
      <c r="U508" s="4"/>
      <c r="V508" s="4"/>
      <c r="W508" s="4"/>
    </row>
    <row r="509" spans="1:23" x14ac:dyDescent="0.2">
      <c r="A509" s="4">
        <v>50</v>
      </c>
      <c r="B509" s="4">
        <v>0</v>
      </c>
      <c r="C509" s="4">
        <v>0</v>
      </c>
      <c r="D509" s="4">
        <v>1</v>
      </c>
      <c r="E509" s="4">
        <v>232</v>
      </c>
      <c r="F509" s="4">
        <f>ROUND(Source!BC493,O509)</f>
        <v>0</v>
      </c>
      <c r="G509" s="4" t="s">
        <v>117</v>
      </c>
      <c r="H509" s="4" t="s">
        <v>118</v>
      </c>
      <c r="I509" s="4"/>
      <c r="J509" s="4"/>
      <c r="K509" s="4">
        <v>232</v>
      </c>
      <c r="L509" s="4">
        <v>15</v>
      </c>
      <c r="M509" s="4">
        <v>3</v>
      </c>
      <c r="N509" s="4" t="s">
        <v>3</v>
      </c>
      <c r="O509" s="4">
        <v>0</v>
      </c>
      <c r="P509" s="4"/>
      <c r="Q509" s="4"/>
      <c r="R509" s="4"/>
      <c r="S509" s="4"/>
      <c r="T509" s="4"/>
      <c r="U509" s="4"/>
      <c r="V509" s="4"/>
      <c r="W509" s="4"/>
    </row>
    <row r="510" spans="1:23" x14ac:dyDescent="0.2">
      <c r="A510" s="4">
        <v>50</v>
      </c>
      <c r="B510" s="4">
        <v>0</v>
      </c>
      <c r="C510" s="4">
        <v>0</v>
      </c>
      <c r="D510" s="4">
        <v>1</v>
      </c>
      <c r="E510" s="4">
        <v>214</v>
      </c>
      <c r="F510" s="4">
        <f>ROUND(Source!AS493,O510)</f>
        <v>548268</v>
      </c>
      <c r="G510" s="4" t="s">
        <v>119</v>
      </c>
      <c r="H510" s="4" t="s">
        <v>120</v>
      </c>
      <c r="I510" s="4"/>
      <c r="J510" s="4"/>
      <c r="K510" s="4">
        <v>214</v>
      </c>
      <c r="L510" s="4">
        <v>16</v>
      </c>
      <c r="M510" s="4">
        <v>3</v>
      </c>
      <c r="N510" s="4" t="s">
        <v>3</v>
      </c>
      <c r="O510" s="4">
        <v>0</v>
      </c>
      <c r="P510" s="4"/>
      <c r="Q510" s="4"/>
      <c r="R510" s="4"/>
      <c r="S510" s="4"/>
      <c r="T510" s="4"/>
      <c r="U510" s="4"/>
      <c r="V510" s="4"/>
      <c r="W510" s="4"/>
    </row>
    <row r="511" spans="1:23" x14ac:dyDescent="0.2">
      <c r="A511" s="4">
        <v>50</v>
      </c>
      <c r="B511" s="4">
        <v>0</v>
      </c>
      <c r="C511" s="4">
        <v>0</v>
      </c>
      <c r="D511" s="4">
        <v>1</v>
      </c>
      <c r="E511" s="4">
        <v>215</v>
      </c>
      <c r="F511" s="4">
        <f>ROUND(Source!AT493,O511)</f>
        <v>0</v>
      </c>
      <c r="G511" s="4" t="s">
        <v>121</v>
      </c>
      <c r="H511" s="4" t="s">
        <v>122</v>
      </c>
      <c r="I511" s="4"/>
      <c r="J511" s="4"/>
      <c r="K511" s="4">
        <v>215</v>
      </c>
      <c r="L511" s="4">
        <v>17</v>
      </c>
      <c r="M511" s="4">
        <v>3</v>
      </c>
      <c r="N511" s="4" t="s">
        <v>3</v>
      </c>
      <c r="O511" s="4">
        <v>0</v>
      </c>
      <c r="P511" s="4"/>
      <c r="Q511" s="4"/>
      <c r="R511" s="4"/>
      <c r="S511" s="4"/>
      <c r="T511" s="4"/>
      <c r="U511" s="4"/>
      <c r="V511" s="4"/>
      <c r="W511" s="4"/>
    </row>
    <row r="512" spans="1:23" x14ac:dyDescent="0.2">
      <c r="A512" s="4">
        <v>50</v>
      </c>
      <c r="B512" s="4">
        <v>0</v>
      </c>
      <c r="C512" s="4">
        <v>0</v>
      </c>
      <c r="D512" s="4">
        <v>1</v>
      </c>
      <c r="E512" s="4">
        <v>217</v>
      </c>
      <c r="F512" s="4">
        <f>ROUND(Source!AU493,O512)</f>
        <v>0</v>
      </c>
      <c r="G512" s="4" t="s">
        <v>123</v>
      </c>
      <c r="H512" s="4" t="s">
        <v>124</v>
      </c>
      <c r="I512" s="4"/>
      <c r="J512" s="4"/>
      <c r="K512" s="4">
        <v>217</v>
      </c>
      <c r="L512" s="4">
        <v>18</v>
      </c>
      <c r="M512" s="4">
        <v>3</v>
      </c>
      <c r="N512" s="4" t="s">
        <v>3</v>
      </c>
      <c r="O512" s="4">
        <v>0</v>
      </c>
      <c r="P512" s="4"/>
      <c r="Q512" s="4"/>
      <c r="R512" s="4"/>
      <c r="S512" s="4"/>
      <c r="T512" s="4"/>
      <c r="U512" s="4"/>
      <c r="V512" s="4"/>
      <c r="W512" s="4"/>
    </row>
    <row r="513" spans="1:23" x14ac:dyDescent="0.2">
      <c r="A513" s="4">
        <v>50</v>
      </c>
      <c r="B513" s="4">
        <v>0</v>
      </c>
      <c r="C513" s="4">
        <v>0</v>
      </c>
      <c r="D513" s="4">
        <v>1</v>
      </c>
      <c r="E513" s="4">
        <v>230</v>
      </c>
      <c r="F513" s="4">
        <f>ROUND(Source!BA493,O513)</f>
        <v>0</v>
      </c>
      <c r="G513" s="4" t="s">
        <v>125</v>
      </c>
      <c r="H513" s="4" t="s">
        <v>126</v>
      </c>
      <c r="I513" s="4"/>
      <c r="J513" s="4"/>
      <c r="K513" s="4">
        <v>230</v>
      </c>
      <c r="L513" s="4">
        <v>19</v>
      </c>
      <c r="M513" s="4">
        <v>3</v>
      </c>
      <c r="N513" s="4" t="s">
        <v>3</v>
      </c>
      <c r="O513" s="4">
        <v>0</v>
      </c>
      <c r="P513" s="4"/>
      <c r="Q513" s="4"/>
      <c r="R513" s="4"/>
      <c r="S513" s="4"/>
      <c r="T513" s="4"/>
      <c r="U513" s="4"/>
      <c r="V513" s="4"/>
      <c r="W513" s="4"/>
    </row>
    <row r="514" spans="1:23" x14ac:dyDescent="0.2">
      <c r="A514" s="4">
        <v>50</v>
      </c>
      <c r="B514" s="4">
        <v>0</v>
      </c>
      <c r="C514" s="4">
        <v>0</v>
      </c>
      <c r="D514" s="4">
        <v>1</v>
      </c>
      <c r="E514" s="4">
        <v>206</v>
      </c>
      <c r="F514" s="4">
        <f>ROUND(Source!T493,O514)</f>
        <v>0</v>
      </c>
      <c r="G514" s="4" t="s">
        <v>127</v>
      </c>
      <c r="H514" s="4" t="s">
        <v>128</v>
      </c>
      <c r="I514" s="4"/>
      <c r="J514" s="4"/>
      <c r="K514" s="4">
        <v>206</v>
      </c>
      <c r="L514" s="4">
        <v>20</v>
      </c>
      <c r="M514" s="4">
        <v>3</v>
      </c>
      <c r="N514" s="4" t="s">
        <v>3</v>
      </c>
      <c r="O514" s="4">
        <v>0</v>
      </c>
      <c r="P514" s="4"/>
      <c r="Q514" s="4"/>
      <c r="R514" s="4"/>
      <c r="S514" s="4"/>
      <c r="T514" s="4"/>
      <c r="U514" s="4"/>
      <c r="V514" s="4"/>
      <c r="W514" s="4"/>
    </row>
    <row r="515" spans="1:23" x14ac:dyDescent="0.2">
      <c r="A515" s="4">
        <v>50</v>
      </c>
      <c r="B515" s="4">
        <v>0</v>
      </c>
      <c r="C515" s="4">
        <v>0</v>
      </c>
      <c r="D515" s="4">
        <v>1</v>
      </c>
      <c r="E515" s="4">
        <v>207</v>
      </c>
      <c r="F515" s="4">
        <f>Source!U493</f>
        <v>1795.5392820999998</v>
      </c>
      <c r="G515" s="4" t="s">
        <v>129</v>
      </c>
      <c r="H515" s="4" t="s">
        <v>130</v>
      </c>
      <c r="I515" s="4"/>
      <c r="J515" s="4"/>
      <c r="K515" s="4">
        <v>207</v>
      </c>
      <c r="L515" s="4">
        <v>21</v>
      </c>
      <c r="M515" s="4">
        <v>3</v>
      </c>
      <c r="N515" s="4" t="s">
        <v>3</v>
      </c>
      <c r="O515" s="4">
        <v>-1</v>
      </c>
      <c r="P515" s="4"/>
      <c r="Q515" s="4"/>
      <c r="R515" s="4"/>
      <c r="S515" s="4"/>
      <c r="T515" s="4"/>
      <c r="U515" s="4"/>
      <c r="V515" s="4"/>
      <c r="W515" s="4"/>
    </row>
    <row r="516" spans="1:23" x14ac:dyDescent="0.2">
      <c r="A516" s="4">
        <v>50</v>
      </c>
      <c r="B516" s="4">
        <v>0</v>
      </c>
      <c r="C516" s="4">
        <v>0</v>
      </c>
      <c r="D516" s="4">
        <v>1</v>
      </c>
      <c r="E516" s="4">
        <v>208</v>
      </c>
      <c r="F516" s="4">
        <f>Source!V493</f>
        <v>314.25764325</v>
      </c>
      <c r="G516" s="4" t="s">
        <v>131</v>
      </c>
      <c r="H516" s="4" t="s">
        <v>132</v>
      </c>
      <c r="I516" s="4"/>
      <c r="J516" s="4"/>
      <c r="K516" s="4">
        <v>208</v>
      </c>
      <c r="L516" s="4">
        <v>22</v>
      </c>
      <c r="M516" s="4">
        <v>3</v>
      </c>
      <c r="N516" s="4" t="s">
        <v>3</v>
      </c>
      <c r="O516" s="4">
        <v>-1</v>
      </c>
      <c r="P516" s="4"/>
      <c r="Q516" s="4"/>
      <c r="R516" s="4"/>
      <c r="S516" s="4"/>
      <c r="T516" s="4"/>
      <c r="U516" s="4"/>
      <c r="V516" s="4"/>
      <c r="W516" s="4"/>
    </row>
    <row r="517" spans="1:23" x14ac:dyDescent="0.2">
      <c r="A517" s="4">
        <v>50</v>
      </c>
      <c r="B517" s="4">
        <v>0</v>
      </c>
      <c r="C517" s="4">
        <v>0</v>
      </c>
      <c r="D517" s="4">
        <v>1</v>
      </c>
      <c r="E517" s="4">
        <v>209</v>
      </c>
      <c r="F517" s="4">
        <f>ROUND(Source!W493,O517)</f>
        <v>0</v>
      </c>
      <c r="G517" s="4" t="s">
        <v>133</v>
      </c>
      <c r="H517" s="4" t="s">
        <v>134</v>
      </c>
      <c r="I517" s="4"/>
      <c r="J517" s="4"/>
      <c r="K517" s="4">
        <v>209</v>
      </c>
      <c r="L517" s="4">
        <v>23</v>
      </c>
      <c r="M517" s="4">
        <v>3</v>
      </c>
      <c r="N517" s="4" t="s">
        <v>3</v>
      </c>
      <c r="O517" s="4">
        <v>0</v>
      </c>
      <c r="P517" s="4"/>
      <c r="Q517" s="4"/>
      <c r="R517" s="4"/>
      <c r="S517" s="4"/>
      <c r="T517" s="4"/>
      <c r="U517" s="4"/>
      <c r="V517" s="4"/>
      <c r="W517" s="4"/>
    </row>
    <row r="518" spans="1:23" x14ac:dyDescent="0.2">
      <c r="A518" s="4">
        <v>50</v>
      </c>
      <c r="B518" s="4">
        <v>0</v>
      </c>
      <c r="C518" s="4">
        <v>0</v>
      </c>
      <c r="D518" s="4">
        <v>1</v>
      </c>
      <c r="E518" s="4">
        <v>233</v>
      </c>
      <c r="F518" s="4">
        <f>ROUND(Source!BD493,O518)</f>
        <v>6832</v>
      </c>
      <c r="G518" s="4" t="s">
        <v>135</v>
      </c>
      <c r="H518" s="4" t="s">
        <v>136</v>
      </c>
      <c r="I518" s="4"/>
      <c r="J518" s="4"/>
      <c r="K518" s="4">
        <v>233</v>
      </c>
      <c r="L518" s="4">
        <v>24</v>
      </c>
      <c r="M518" s="4">
        <v>3</v>
      </c>
      <c r="N518" s="4" t="s">
        <v>3</v>
      </c>
      <c r="O518" s="4">
        <v>0</v>
      </c>
      <c r="P518" s="4"/>
      <c r="Q518" s="4"/>
      <c r="R518" s="4"/>
      <c r="S518" s="4"/>
      <c r="T518" s="4"/>
      <c r="U518" s="4"/>
      <c r="V518" s="4"/>
      <c r="W518" s="4"/>
    </row>
    <row r="519" spans="1:23" x14ac:dyDescent="0.2">
      <c r="A519" s="4">
        <v>50</v>
      </c>
      <c r="B519" s="4">
        <v>0</v>
      </c>
      <c r="C519" s="4">
        <v>0</v>
      </c>
      <c r="D519" s="4">
        <v>1</v>
      </c>
      <c r="E519" s="4">
        <v>210</v>
      </c>
      <c r="F519" s="4">
        <f>ROUND(Source!X493,O519)</f>
        <v>21361</v>
      </c>
      <c r="G519" s="4" t="s">
        <v>137</v>
      </c>
      <c r="H519" s="4" t="s">
        <v>138</v>
      </c>
      <c r="I519" s="4"/>
      <c r="J519" s="4"/>
      <c r="K519" s="4">
        <v>210</v>
      </c>
      <c r="L519" s="4">
        <v>25</v>
      </c>
      <c r="M519" s="4">
        <v>3</v>
      </c>
      <c r="N519" s="4" t="s">
        <v>3</v>
      </c>
      <c r="O519" s="4">
        <v>0</v>
      </c>
      <c r="P519" s="4"/>
      <c r="Q519" s="4"/>
      <c r="R519" s="4"/>
      <c r="S519" s="4"/>
      <c r="T519" s="4"/>
      <c r="U519" s="4"/>
      <c r="V519" s="4"/>
      <c r="W519" s="4"/>
    </row>
    <row r="520" spans="1:23" x14ac:dyDescent="0.2">
      <c r="A520" s="4">
        <v>50</v>
      </c>
      <c r="B520" s="4">
        <v>0</v>
      </c>
      <c r="C520" s="4">
        <v>0</v>
      </c>
      <c r="D520" s="4">
        <v>1</v>
      </c>
      <c r="E520" s="4">
        <v>211</v>
      </c>
      <c r="F520" s="4">
        <f>ROUND(Source!Y493,O520)</f>
        <v>12164</v>
      </c>
      <c r="G520" s="4" t="s">
        <v>139</v>
      </c>
      <c r="H520" s="4" t="s">
        <v>140</v>
      </c>
      <c r="I520" s="4"/>
      <c r="J520" s="4"/>
      <c r="K520" s="4">
        <v>211</v>
      </c>
      <c r="L520" s="4">
        <v>26</v>
      </c>
      <c r="M520" s="4">
        <v>3</v>
      </c>
      <c r="N520" s="4" t="s">
        <v>3</v>
      </c>
      <c r="O520" s="4">
        <v>0</v>
      </c>
      <c r="P520" s="4"/>
      <c r="Q520" s="4"/>
      <c r="R520" s="4"/>
      <c r="S520" s="4"/>
      <c r="T520" s="4"/>
      <c r="U520" s="4"/>
      <c r="V520" s="4"/>
      <c r="W520" s="4"/>
    </row>
    <row r="521" spans="1:23" x14ac:dyDescent="0.2">
      <c r="A521" s="4">
        <v>50</v>
      </c>
      <c r="B521" s="4">
        <v>0</v>
      </c>
      <c r="C521" s="4">
        <v>0</v>
      </c>
      <c r="D521" s="4">
        <v>1</v>
      </c>
      <c r="E521" s="4">
        <v>224</v>
      </c>
      <c r="F521" s="4">
        <f>ROUND(Source!AR493,O521)</f>
        <v>548268</v>
      </c>
      <c r="G521" s="4" t="s">
        <v>141</v>
      </c>
      <c r="H521" s="4" t="s">
        <v>142</v>
      </c>
      <c r="I521" s="4"/>
      <c r="J521" s="4"/>
      <c r="K521" s="4">
        <v>224</v>
      </c>
      <c r="L521" s="4">
        <v>27</v>
      </c>
      <c r="M521" s="4">
        <v>3</v>
      </c>
      <c r="N521" s="4" t="s">
        <v>3</v>
      </c>
      <c r="O521" s="4">
        <v>0</v>
      </c>
      <c r="P521" s="4"/>
      <c r="Q521" s="4"/>
      <c r="R521" s="4"/>
      <c r="S521" s="4"/>
      <c r="T521" s="4"/>
      <c r="U521" s="4"/>
      <c r="V521" s="4"/>
      <c r="W521" s="4"/>
    </row>
    <row r="524" spans="1:23" x14ac:dyDescent="0.2">
      <c r="A524">
        <v>70</v>
      </c>
      <c r="B524">
        <v>1</v>
      </c>
      <c r="D524">
        <v>1</v>
      </c>
      <c r="E524" t="s">
        <v>382</v>
      </c>
      <c r="F524" t="s">
        <v>383</v>
      </c>
      <c r="G524">
        <v>0</v>
      </c>
      <c r="H524">
        <v>0</v>
      </c>
      <c r="I524" t="s">
        <v>3</v>
      </c>
      <c r="J524">
        <v>1</v>
      </c>
      <c r="K524">
        <v>0</v>
      </c>
      <c r="L524" t="s">
        <v>3</v>
      </c>
      <c r="M524" t="s">
        <v>3</v>
      </c>
      <c r="N524">
        <v>0</v>
      </c>
    </row>
    <row r="525" spans="1:23" x14ac:dyDescent="0.2">
      <c r="A525">
        <v>70</v>
      </c>
      <c r="B525">
        <v>1</v>
      </c>
      <c r="D525">
        <v>2</v>
      </c>
      <c r="E525" t="s">
        <v>384</v>
      </c>
      <c r="F525" t="s">
        <v>385</v>
      </c>
      <c r="G525">
        <v>0</v>
      </c>
      <c r="H525">
        <v>0</v>
      </c>
      <c r="I525" t="s">
        <v>3</v>
      </c>
      <c r="J525">
        <v>1</v>
      </c>
      <c r="K525">
        <v>0</v>
      </c>
      <c r="L525" t="s">
        <v>3</v>
      </c>
      <c r="M525" t="s">
        <v>3</v>
      </c>
      <c r="N525">
        <v>0</v>
      </c>
    </row>
    <row r="526" spans="1:23" x14ac:dyDescent="0.2">
      <c r="A526">
        <v>70</v>
      </c>
      <c r="B526">
        <v>1</v>
      </c>
      <c r="D526">
        <v>3</v>
      </c>
      <c r="E526" t="s">
        <v>386</v>
      </c>
      <c r="F526" t="s">
        <v>387</v>
      </c>
      <c r="G526">
        <v>1</v>
      </c>
      <c r="H526">
        <v>0</v>
      </c>
      <c r="I526" t="s">
        <v>3</v>
      </c>
      <c r="J526">
        <v>1</v>
      </c>
      <c r="K526">
        <v>0</v>
      </c>
      <c r="L526" t="s">
        <v>3</v>
      </c>
      <c r="M526" t="s">
        <v>3</v>
      </c>
      <c r="N526">
        <v>0</v>
      </c>
    </row>
    <row r="527" spans="1:23" x14ac:dyDescent="0.2">
      <c r="A527">
        <v>70</v>
      </c>
      <c r="B527">
        <v>1</v>
      </c>
      <c r="D527">
        <v>4</v>
      </c>
      <c r="E527" t="s">
        <v>388</v>
      </c>
      <c r="F527" t="s">
        <v>389</v>
      </c>
      <c r="G527">
        <v>0</v>
      </c>
      <c r="H527">
        <v>0</v>
      </c>
      <c r="I527" t="s">
        <v>390</v>
      </c>
      <c r="J527">
        <v>0</v>
      </c>
      <c r="K527">
        <v>0</v>
      </c>
      <c r="L527" t="s">
        <v>3</v>
      </c>
      <c r="M527" t="s">
        <v>3</v>
      </c>
      <c r="N527">
        <v>0</v>
      </c>
    </row>
    <row r="528" spans="1:23" x14ac:dyDescent="0.2">
      <c r="A528">
        <v>70</v>
      </c>
      <c r="B528">
        <v>1</v>
      </c>
      <c r="D528">
        <v>5</v>
      </c>
      <c r="E528" t="s">
        <v>391</v>
      </c>
      <c r="F528" t="s">
        <v>392</v>
      </c>
      <c r="G528">
        <v>0</v>
      </c>
      <c r="H528">
        <v>0</v>
      </c>
      <c r="I528" t="s">
        <v>393</v>
      </c>
      <c r="J528">
        <v>0</v>
      </c>
      <c r="K528">
        <v>0</v>
      </c>
      <c r="L528" t="s">
        <v>3</v>
      </c>
      <c r="M528" t="s">
        <v>3</v>
      </c>
      <c r="N528">
        <v>0</v>
      </c>
    </row>
    <row r="529" spans="1:14" x14ac:dyDescent="0.2">
      <c r="A529">
        <v>70</v>
      </c>
      <c r="B529">
        <v>1</v>
      </c>
      <c r="D529">
        <v>6</v>
      </c>
      <c r="E529" t="s">
        <v>394</v>
      </c>
      <c r="F529" t="s">
        <v>395</v>
      </c>
      <c r="G529">
        <v>0</v>
      </c>
      <c r="H529">
        <v>0</v>
      </c>
      <c r="I529" t="s">
        <v>396</v>
      </c>
      <c r="J529">
        <v>0</v>
      </c>
      <c r="K529">
        <v>0</v>
      </c>
      <c r="L529" t="s">
        <v>3</v>
      </c>
      <c r="M529" t="s">
        <v>3</v>
      </c>
      <c r="N529">
        <v>0</v>
      </c>
    </row>
    <row r="530" spans="1:14" x14ac:dyDescent="0.2">
      <c r="A530">
        <v>70</v>
      </c>
      <c r="B530">
        <v>1</v>
      </c>
      <c r="D530">
        <v>7</v>
      </c>
      <c r="E530" t="s">
        <v>397</v>
      </c>
      <c r="F530" t="s">
        <v>398</v>
      </c>
      <c r="G530">
        <v>0</v>
      </c>
      <c r="H530">
        <v>0</v>
      </c>
      <c r="I530" t="s">
        <v>3</v>
      </c>
      <c r="J530">
        <v>0</v>
      </c>
      <c r="K530">
        <v>0</v>
      </c>
      <c r="L530" t="s">
        <v>3</v>
      </c>
      <c r="M530" t="s">
        <v>3</v>
      </c>
      <c r="N530">
        <v>0</v>
      </c>
    </row>
    <row r="531" spans="1:14" x14ac:dyDescent="0.2">
      <c r="A531">
        <v>70</v>
      </c>
      <c r="B531">
        <v>1</v>
      </c>
      <c r="D531">
        <v>8</v>
      </c>
      <c r="E531" t="s">
        <v>399</v>
      </c>
      <c r="F531" t="s">
        <v>400</v>
      </c>
      <c r="G531">
        <v>0</v>
      </c>
      <c r="H531">
        <v>0</v>
      </c>
      <c r="I531" t="s">
        <v>401</v>
      </c>
      <c r="J531">
        <v>0</v>
      </c>
      <c r="K531">
        <v>0</v>
      </c>
      <c r="L531" t="s">
        <v>3</v>
      </c>
      <c r="M531" t="s">
        <v>3</v>
      </c>
      <c r="N531">
        <v>0</v>
      </c>
    </row>
    <row r="532" spans="1:14" x14ac:dyDescent="0.2">
      <c r="A532">
        <v>70</v>
      </c>
      <c r="B532">
        <v>1</v>
      </c>
      <c r="D532">
        <v>9</v>
      </c>
      <c r="E532" t="s">
        <v>402</v>
      </c>
      <c r="F532" t="s">
        <v>403</v>
      </c>
      <c r="G532">
        <v>0</v>
      </c>
      <c r="H532">
        <v>0</v>
      </c>
      <c r="I532" t="s">
        <v>404</v>
      </c>
      <c r="J532">
        <v>0</v>
      </c>
      <c r="K532">
        <v>0</v>
      </c>
      <c r="L532" t="s">
        <v>3</v>
      </c>
      <c r="M532" t="s">
        <v>3</v>
      </c>
      <c r="N532">
        <v>0</v>
      </c>
    </row>
    <row r="533" spans="1:14" x14ac:dyDescent="0.2">
      <c r="A533">
        <v>70</v>
      </c>
      <c r="B533">
        <v>1</v>
      </c>
      <c r="D533">
        <v>10</v>
      </c>
      <c r="E533" t="s">
        <v>405</v>
      </c>
      <c r="F533" t="s">
        <v>406</v>
      </c>
      <c r="G533">
        <v>0</v>
      </c>
      <c r="H533">
        <v>0</v>
      </c>
      <c r="I533" t="s">
        <v>407</v>
      </c>
      <c r="J533">
        <v>0</v>
      </c>
      <c r="K533">
        <v>0</v>
      </c>
      <c r="L533" t="s">
        <v>3</v>
      </c>
      <c r="M533" t="s">
        <v>3</v>
      </c>
      <c r="N533">
        <v>0</v>
      </c>
    </row>
    <row r="534" spans="1:14" x14ac:dyDescent="0.2">
      <c r="A534">
        <v>70</v>
      </c>
      <c r="B534">
        <v>1</v>
      </c>
      <c r="D534">
        <v>11</v>
      </c>
      <c r="E534" t="s">
        <v>408</v>
      </c>
      <c r="F534" t="s">
        <v>409</v>
      </c>
      <c r="G534">
        <v>0</v>
      </c>
      <c r="H534">
        <v>0</v>
      </c>
      <c r="I534" t="s">
        <v>410</v>
      </c>
      <c r="J534">
        <v>0</v>
      </c>
      <c r="K534">
        <v>0</v>
      </c>
      <c r="L534" t="s">
        <v>3</v>
      </c>
      <c r="M534" t="s">
        <v>3</v>
      </c>
      <c r="N534">
        <v>0</v>
      </c>
    </row>
    <row r="535" spans="1:14" x14ac:dyDescent="0.2">
      <c r="A535">
        <v>70</v>
      </c>
      <c r="B535">
        <v>1</v>
      </c>
      <c r="D535">
        <v>12</v>
      </c>
      <c r="E535" t="s">
        <v>411</v>
      </c>
      <c r="F535" t="s">
        <v>412</v>
      </c>
      <c r="G535">
        <v>0</v>
      </c>
      <c r="H535">
        <v>0</v>
      </c>
      <c r="I535" t="s">
        <v>3</v>
      </c>
      <c r="J535">
        <v>0</v>
      </c>
      <c r="K535">
        <v>0</v>
      </c>
      <c r="L535" t="s">
        <v>3</v>
      </c>
      <c r="M535" t="s">
        <v>3</v>
      </c>
      <c r="N535">
        <v>0</v>
      </c>
    </row>
    <row r="536" spans="1:14" x14ac:dyDescent="0.2">
      <c r="A536">
        <v>70</v>
      </c>
      <c r="B536">
        <v>1</v>
      </c>
      <c r="D536">
        <v>1</v>
      </c>
      <c r="E536" t="s">
        <v>413</v>
      </c>
      <c r="F536" t="s">
        <v>414</v>
      </c>
      <c r="G536">
        <v>0.9</v>
      </c>
      <c r="H536">
        <v>1</v>
      </c>
      <c r="I536" t="s">
        <v>415</v>
      </c>
      <c r="J536">
        <v>0</v>
      </c>
      <c r="K536">
        <v>0</v>
      </c>
      <c r="L536" t="s">
        <v>3</v>
      </c>
      <c r="M536" t="s">
        <v>3</v>
      </c>
      <c r="N536">
        <v>0</v>
      </c>
    </row>
    <row r="537" spans="1:14" x14ac:dyDescent="0.2">
      <c r="A537">
        <v>70</v>
      </c>
      <c r="B537">
        <v>1</v>
      </c>
      <c r="D537">
        <v>2</v>
      </c>
      <c r="E537" t="s">
        <v>416</v>
      </c>
      <c r="F537" t="s">
        <v>417</v>
      </c>
      <c r="G537">
        <v>0.85</v>
      </c>
      <c r="H537">
        <v>1</v>
      </c>
      <c r="I537" t="s">
        <v>418</v>
      </c>
      <c r="J537">
        <v>0</v>
      </c>
      <c r="K537">
        <v>0</v>
      </c>
      <c r="L537" t="s">
        <v>3</v>
      </c>
      <c r="M537" t="s">
        <v>3</v>
      </c>
      <c r="N537">
        <v>0</v>
      </c>
    </row>
    <row r="538" spans="1:14" x14ac:dyDescent="0.2">
      <c r="A538">
        <v>70</v>
      </c>
      <c r="B538">
        <v>1</v>
      </c>
      <c r="D538">
        <v>3</v>
      </c>
      <c r="E538" t="s">
        <v>419</v>
      </c>
      <c r="F538" t="s">
        <v>420</v>
      </c>
      <c r="G538">
        <v>1</v>
      </c>
      <c r="H538">
        <v>0.85</v>
      </c>
      <c r="I538" t="s">
        <v>421</v>
      </c>
      <c r="J538">
        <v>0</v>
      </c>
      <c r="K538">
        <v>0</v>
      </c>
      <c r="L538" t="s">
        <v>3</v>
      </c>
      <c r="M538" t="s">
        <v>3</v>
      </c>
      <c r="N538">
        <v>0</v>
      </c>
    </row>
    <row r="539" spans="1:14" x14ac:dyDescent="0.2">
      <c r="A539">
        <v>70</v>
      </c>
      <c r="B539">
        <v>1</v>
      </c>
      <c r="D539">
        <v>4</v>
      </c>
      <c r="E539" t="s">
        <v>422</v>
      </c>
      <c r="F539" t="s">
        <v>423</v>
      </c>
      <c r="G539">
        <v>1</v>
      </c>
      <c r="H539">
        <v>0</v>
      </c>
      <c r="I539" t="s">
        <v>3</v>
      </c>
      <c r="J539">
        <v>0</v>
      </c>
      <c r="K539">
        <v>0</v>
      </c>
      <c r="L539" t="s">
        <v>3</v>
      </c>
      <c r="M539" t="s">
        <v>3</v>
      </c>
      <c r="N539">
        <v>0</v>
      </c>
    </row>
    <row r="540" spans="1:14" x14ac:dyDescent="0.2">
      <c r="A540">
        <v>70</v>
      </c>
      <c r="B540">
        <v>1</v>
      </c>
      <c r="D540">
        <v>5</v>
      </c>
      <c r="E540" t="s">
        <v>424</v>
      </c>
      <c r="F540" t="s">
        <v>425</v>
      </c>
      <c r="G540">
        <v>1</v>
      </c>
      <c r="H540">
        <v>0.8</v>
      </c>
      <c r="I540" t="s">
        <v>426</v>
      </c>
      <c r="J540">
        <v>0</v>
      </c>
      <c r="K540">
        <v>0</v>
      </c>
      <c r="L540" t="s">
        <v>3</v>
      </c>
      <c r="M540" t="s">
        <v>3</v>
      </c>
      <c r="N540">
        <v>0</v>
      </c>
    </row>
    <row r="541" spans="1:14" x14ac:dyDescent="0.2">
      <c r="A541">
        <v>70</v>
      </c>
      <c r="B541">
        <v>1</v>
      </c>
      <c r="D541">
        <v>6</v>
      </c>
      <c r="E541" t="s">
        <v>427</v>
      </c>
      <c r="F541" t="s">
        <v>428</v>
      </c>
      <c r="G541">
        <v>1</v>
      </c>
      <c r="H541">
        <v>0</v>
      </c>
      <c r="I541" t="s">
        <v>3</v>
      </c>
      <c r="J541">
        <v>0</v>
      </c>
      <c r="K541">
        <v>0</v>
      </c>
      <c r="L541" t="s">
        <v>3</v>
      </c>
      <c r="M541" t="s">
        <v>3</v>
      </c>
      <c r="N541">
        <v>0</v>
      </c>
    </row>
    <row r="542" spans="1:14" x14ac:dyDescent="0.2">
      <c r="A542">
        <v>70</v>
      </c>
      <c r="B542">
        <v>1</v>
      </c>
      <c r="D542">
        <v>7</v>
      </c>
      <c r="E542" t="s">
        <v>429</v>
      </c>
      <c r="F542" t="s">
        <v>430</v>
      </c>
      <c r="G542">
        <v>1</v>
      </c>
      <c r="H542">
        <v>0</v>
      </c>
      <c r="I542" t="s">
        <v>3</v>
      </c>
      <c r="J542">
        <v>0</v>
      </c>
      <c r="K542">
        <v>0</v>
      </c>
      <c r="L542" t="s">
        <v>3</v>
      </c>
      <c r="M542" t="s">
        <v>3</v>
      </c>
      <c r="N542">
        <v>0</v>
      </c>
    </row>
    <row r="543" spans="1:14" x14ac:dyDescent="0.2">
      <c r="A543">
        <v>70</v>
      </c>
      <c r="B543">
        <v>1</v>
      </c>
      <c r="D543">
        <v>8</v>
      </c>
      <c r="E543" t="s">
        <v>431</v>
      </c>
      <c r="F543" t="s">
        <v>432</v>
      </c>
      <c r="G543">
        <v>0.7</v>
      </c>
      <c r="H543">
        <v>0</v>
      </c>
      <c r="I543" t="s">
        <v>3</v>
      </c>
      <c r="J543">
        <v>0</v>
      </c>
      <c r="K543">
        <v>0</v>
      </c>
      <c r="L543" t="s">
        <v>3</v>
      </c>
      <c r="M543" t="s">
        <v>3</v>
      </c>
      <c r="N543">
        <v>0</v>
      </c>
    </row>
    <row r="544" spans="1:14" x14ac:dyDescent="0.2">
      <c r="A544">
        <v>70</v>
      </c>
      <c r="B544">
        <v>1</v>
      </c>
      <c r="D544">
        <v>9</v>
      </c>
      <c r="E544" t="s">
        <v>433</v>
      </c>
      <c r="F544" t="s">
        <v>434</v>
      </c>
      <c r="G544">
        <v>0.9</v>
      </c>
      <c r="H544">
        <v>0</v>
      </c>
      <c r="I544" t="s">
        <v>3</v>
      </c>
      <c r="J544">
        <v>0</v>
      </c>
      <c r="K544">
        <v>0</v>
      </c>
      <c r="L544" t="s">
        <v>3</v>
      </c>
      <c r="M544" t="s">
        <v>3</v>
      </c>
      <c r="N544">
        <v>0</v>
      </c>
    </row>
    <row r="545" spans="1:15" x14ac:dyDescent="0.2">
      <c r="A545">
        <v>70</v>
      </c>
      <c r="B545">
        <v>1</v>
      </c>
      <c r="D545">
        <v>10</v>
      </c>
      <c r="E545" t="s">
        <v>435</v>
      </c>
      <c r="F545" t="s">
        <v>436</v>
      </c>
      <c r="G545">
        <v>0.6</v>
      </c>
      <c r="H545">
        <v>0</v>
      </c>
      <c r="I545" t="s">
        <v>3</v>
      </c>
      <c r="J545">
        <v>0</v>
      </c>
      <c r="K545">
        <v>0</v>
      </c>
      <c r="L545" t="s">
        <v>3</v>
      </c>
      <c r="M545" t="s">
        <v>3</v>
      </c>
      <c r="N545">
        <v>0</v>
      </c>
    </row>
    <row r="546" spans="1:15" x14ac:dyDescent="0.2">
      <c r="A546">
        <v>70</v>
      </c>
      <c r="B546">
        <v>1</v>
      </c>
      <c r="D546">
        <v>11</v>
      </c>
      <c r="E546" t="s">
        <v>437</v>
      </c>
      <c r="F546" t="s">
        <v>438</v>
      </c>
      <c r="G546">
        <v>1.2</v>
      </c>
      <c r="H546">
        <v>0</v>
      </c>
      <c r="I546" t="s">
        <v>3</v>
      </c>
      <c r="J546">
        <v>0</v>
      </c>
      <c r="K546">
        <v>0</v>
      </c>
      <c r="L546" t="s">
        <v>3</v>
      </c>
      <c r="M546" t="s">
        <v>3</v>
      </c>
      <c r="N546">
        <v>0</v>
      </c>
    </row>
    <row r="547" spans="1:15" x14ac:dyDescent="0.2">
      <c r="A547">
        <v>70</v>
      </c>
      <c r="B547">
        <v>1</v>
      </c>
      <c r="D547">
        <v>12</v>
      </c>
      <c r="E547" t="s">
        <v>439</v>
      </c>
      <c r="F547" t="s">
        <v>440</v>
      </c>
      <c r="G547">
        <v>0</v>
      </c>
      <c r="H547">
        <v>0</v>
      </c>
      <c r="I547" t="s">
        <v>3</v>
      </c>
      <c r="J547">
        <v>0</v>
      </c>
      <c r="K547">
        <v>0</v>
      </c>
      <c r="L547" t="s">
        <v>3</v>
      </c>
      <c r="M547" t="s">
        <v>3</v>
      </c>
      <c r="N547">
        <v>0</v>
      </c>
    </row>
    <row r="548" spans="1:15" x14ac:dyDescent="0.2">
      <c r="A548">
        <v>70</v>
      </c>
      <c r="B548">
        <v>1</v>
      </c>
      <c r="D548">
        <v>13</v>
      </c>
      <c r="E548" t="s">
        <v>441</v>
      </c>
      <c r="F548" t="s">
        <v>442</v>
      </c>
      <c r="G548">
        <v>1</v>
      </c>
      <c r="H548">
        <v>0</v>
      </c>
      <c r="I548" t="s">
        <v>3</v>
      </c>
      <c r="J548">
        <v>0</v>
      </c>
      <c r="K548">
        <v>0</v>
      </c>
      <c r="L548" t="s">
        <v>3</v>
      </c>
      <c r="M548" t="s">
        <v>3</v>
      </c>
      <c r="N548">
        <v>0</v>
      </c>
    </row>
    <row r="550" spans="1:15" x14ac:dyDescent="0.2">
      <c r="A550">
        <v>-1</v>
      </c>
    </row>
    <row r="552" spans="1:15" x14ac:dyDescent="0.2">
      <c r="A552" s="3">
        <v>75</v>
      </c>
      <c r="B552" s="3" t="s">
        <v>443</v>
      </c>
      <c r="C552" s="3">
        <v>0</v>
      </c>
      <c r="D552" s="3">
        <v>0</v>
      </c>
      <c r="E552" s="3">
        <v>0</v>
      </c>
      <c r="F552" s="3">
        <v>1</v>
      </c>
      <c r="G552" s="3">
        <v>0</v>
      </c>
      <c r="H552" s="3">
        <v>1</v>
      </c>
      <c r="I552" s="3">
        <v>0</v>
      </c>
      <c r="J552" s="3">
        <v>3</v>
      </c>
      <c r="K552" s="3">
        <v>0</v>
      </c>
      <c r="L552" s="3">
        <v>0</v>
      </c>
      <c r="M552" s="3">
        <v>0</v>
      </c>
      <c r="N552" s="3">
        <v>50210945</v>
      </c>
      <c r="O552" s="3">
        <v>1</v>
      </c>
    </row>
    <row r="556" spans="1:15" x14ac:dyDescent="0.2">
      <c r="A556">
        <v>65</v>
      </c>
      <c r="C556">
        <v>1</v>
      </c>
      <c r="D556">
        <v>0</v>
      </c>
      <c r="E55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444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60493</v>
      </c>
      <c r="M1">
        <v>10</v>
      </c>
      <c r="N1">
        <v>11</v>
      </c>
      <c r="O1">
        <v>0</v>
      </c>
      <c r="P1">
        <v>1</v>
      </c>
      <c r="Q1">
        <v>6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1</v>
      </c>
      <c r="BQ12" s="1">
        <v>0</v>
      </c>
      <c r="BR12" s="1">
        <v>0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3</v>
      </c>
      <c r="CF12" s="1">
        <v>0</v>
      </c>
      <c r="CG12" s="1">
        <v>0</v>
      </c>
      <c r="CH12" s="1">
        <v>327688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50210945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10</v>
      </c>
      <c r="D16" s="5" t="s">
        <v>10</v>
      </c>
      <c r="E16" s="6">
        <f>(Source!F474)/1000</f>
        <v>548.26800000000003</v>
      </c>
      <c r="F16" s="6">
        <f>(Source!F475)/1000</f>
        <v>0</v>
      </c>
      <c r="G16" s="6">
        <f>(Source!F466)/1000</f>
        <v>0</v>
      </c>
      <c r="H16" s="6">
        <f>(Source!F476)/1000+(Source!F477)/1000</f>
        <v>0</v>
      </c>
      <c r="I16" s="6">
        <f>E16+F16+G16+H16</f>
        <v>548.26800000000003</v>
      </c>
      <c r="J16" s="6">
        <f>(Source!F472)/1000</f>
        <v>12.483000000000001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515275</v>
      </c>
      <c r="AU16" s="6">
        <v>440233</v>
      </c>
      <c r="AV16" s="6">
        <v>0</v>
      </c>
      <c r="AW16" s="6">
        <v>0</v>
      </c>
      <c r="AX16" s="6">
        <v>0</v>
      </c>
      <c r="AY16" s="6">
        <v>62503</v>
      </c>
      <c r="AZ16" s="6">
        <v>4020</v>
      </c>
      <c r="BA16" s="6">
        <v>12539</v>
      </c>
      <c r="BB16" s="6">
        <v>548913</v>
      </c>
      <c r="BC16" s="6">
        <v>0</v>
      </c>
      <c r="BD16" s="6">
        <v>0</v>
      </c>
      <c r="BE16" s="6">
        <v>0</v>
      </c>
      <c r="BF16" s="6">
        <v>1803.5548911999999</v>
      </c>
      <c r="BG16" s="6">
        <v>315.59225325000006</v>
      </c>
      <c r="BH16" s="6">
        <v>0</v>
      </c>
      <c r="BI16" s="6">
        <v>21433</v>
      </c>
      <c r="BJ16" s="6">
        <v>12205</v>
      </c>
      <c r="BK16" s="6">
        <v>548913</v>
      </c>
    </row>
    <row r="18" spans="1:19" x14ac:dyDescent="0.2">
      <c r="A18">
        <v>51</v>
      </c>
      <c r="E18" s="7">
        <f>SUMIF(A16:A17,3,E16:E17)</f>
        <v>548.26800000000003</v>
      </c>
      <c r="F18" s="7">
        <f>SUMIF(A16:A17,3,F16:F17)</f>
        <v>0</v>
      </c>
      <c r="G18" s="7">
        <f>SUMIF(A16:A17,3,G16:G17)</f>
        <v>0</v>
      </c>
      <c r="H18" s="7">
        <f>SUMIF(A16:A17,3,H16:H17)</f>
        <v>0</v>
      </c>
      <c r="I18" s="7">
        <f>SUMIF(A16:A17,3,I16:I17)</f>
        <v>548.26800000000003</v>
      </c>
      <c r="J18" s="7">
        <f>SUMIF(A16:A17,3,J16:J17)</f>
        <v>12.483000000000001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515275</v>
      </c>
      <c r="G20" s="4" t="s">
        <v>89</v>
      </c>
      <c r="H20" s="4" t="s">
        <v>90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0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440233</v>
      </c>
      <c r="G21" s="4" t="s">
        <v>91</v>
      </c>
      <c r="H21" s="4" t="s">
        <v>92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0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93</v>
      </c>
      <c r="H22" s="4" t="s">
        <v>94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0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440233</v>
      </c>
      <c r="G23" s="4" t="s">
        <v>95</v>
      </c>
      <c r="H23" s="4" t="s">
        <v>96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0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440233</v>
      </c>
      <c r="G24" s="4" t="s">
        <v>97</v>
      </c>
      <c r="H24" s="4" t="s">
        <v>98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0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99</v>
      </c>
      <c r="H25" s="4" t="s">
        <v>100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0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440233</v>
      </c>
      <c r="G26" s="4" t="s">
        <v>101</v>
      </c>
      <c r="H26" s="4" t="s">
        <v>102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0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103</v>
      </c>
      <c r="H27" s="4" t="s">
        <v>104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0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105</v>
      </c>
      <c r="H28" s="4" t="s">
        <v>106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0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107</v>
      </c>
      <c r="H29" s="4" t="s">
        <v>108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0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62503</v>
      </c>
      <c r="G30" s="4" t="s">
        <v>109</v>
      </c>
      <c r="H30" s="4" t="s">
        <v>110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0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111</v>
      </c>
      <c r="H31" s="4" t="s">
        <v>112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0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4020</v>
      </c>
      <c r="G32" s="4" t="s">
        <v>113</v>
      </c>
      <c r="H32" s="4" t="s">
        <v>114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0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12539</v>
      </c>
      <c r="G33" s="4" t="s">
        <v>115</v>
      </c>
      <c r="H33" s="4" t="s">
        <v>116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0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117</v>
      </c>
      <c r="H34" s="4" t="s">
        <v>118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0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548913</v>
      </c>
      <c r="G35" s="4" t="s">
        <v>119</v>
      </c>
      <c r="H35" s="4" t="s">
        <v>120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0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121</v>
      </c>
      <c r="H36" s="4" t="s">
        <v>122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0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123</v>
      </c>
      <c r="H37" s="4" t="s">
        <v>124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0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125</v>
      </c>
      <c r="H38" s="4" t="s">
        <v>126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0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127</v>
      </c>
      <c r="H39" s="4" t="s">
        <v>128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0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1803.5548911999999</v>
      </c>
      <c r="G40" s="4" t="s">
        <v>129</v>
      </c>
      <c r="H40" s="4" t="s">
        <v>130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315.59225325000006</v>
      </c>
      <c r="G41" s="4" t="s">
        <v>131</v>
      </c>
      <c r="H41" s="4" t="s">
        <v>132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133</v>
      </c>
      <c r="H42" s="4" t="s">
        <v>134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0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6899</v>
      </c>
      <c r="G43" s="4" t="s">
        <v>135</v>
      </c>
      <c r="H43" s="4" t="s">
        <v>136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0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21433</v>
      </c>
      <c r="G44" s="4" t="s">
        <v>137</v>
      </c>
      <c r="H44" s="4" t="s">
        <v>138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0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12205</v>
      </c>
      <c r="G45" s="4" t="s">
        <v>139</v>
      </c>
      <c r="H45" s="4" t="s">
        <v>140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0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548913</v>
      </c>
      <c r="G46" s="4" t="s">
        <v>141</v>
      </c>
      <c r="H46" s="4" t="s">
        <v>142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0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443</v>
      </c>
      <c r="C51" s="3">
        <v>0</v>
      </c>
      <c r="D51" s="3">
        <v>0</v>
      </c>
      <c r="E51" s="3">
        <v>0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50210945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C24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ROW(Source!A32)</f>
        <v>32</v>
      </c>
      <c r="B1">
        <v>50210945</v>
      </c>
      <c r="C1">
        <v>50211586</v>
      </c>
      <c r="D1">
        <v>45980148</v>
      </c>
      <c r="E1">
        <v>1</v>
      </c>
      <c r="F1">
        <v>1</v>
      </c>
      <c r="G1">
        <v>1</v>
      </c>
      <c r="H1">
        <v>1</v>
      </c>
      <c r="I1" t="s">
        <v>445</v>
      </c>
      <c r="J1" t="s">
        <v>3</v>
      </c>
      <c r="K1" t="s">
        <v>446</v>
      </c>
      <c r="L1">
        <v>1476</v>
      </c>
      <c r="N1">
        <v>1013</v>
      </c>
      <c r="O1" t="s">
        <v>447</v>
      </c>
      <c r="P1" t="s">
        <v>448</v>
      </c>
      <c r="Q1">
        <v>1</v>
      </c>
      <c r="W1">
        <v>0</v>
      </c>
      <c r="X1">
        <v>593315140</v>
      </c>
      <c r="Y1">
        <v>2.97</v>
      </c>
      <c r="AA1">
        <v>0</v>
      </c>
      <c r="AB1">
        <v>0</v>
      </c>
      <c r="AC1">
        <v>0</v>
      </c>
      <c r="AD1">
        <v>6.82</v>
      </c>
      <c r="AE1">
        <v>0</v>
      </c>
      <c r="AF1">
        <v>0</v>
      </c>
      <c r="AG1">
        <v>0</v>
      </c>
      <c r="AH1">
        <v>6.82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2.97</v>
      </c>
      <c r="AU1" t="s">
        <v>3</v>
      </c>
      <c r="AV1">
        <v>1</v>
      </c>
      <c r="AW1">
        <v>2</v>
      </c>
      <c r="AX1">
        <v>50211589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Y1*Source!I32</f>
        <v>39.8277</v>
      </c>
      <c r="CY1">
        <f>AD1</f>
        <v>6.82</v>
      </c>
      <c r="CZ1">
        <f>AH1</f>
        <v>6.82</v>
      </c>
      <c r="DA1">
        <f>AL1</f>
        <v>1</v>
      </c>
      <c r="DB1">
        <f t="shared" ref="DB1:DB6" si="0">ROUND(ROUND(AT1*CZ1,2),1)</f>
        <v>20.3</v>
      </c>
      <c r="DC1">
        <f t="shared" ref="DC1:DC6" si="1">ROUND(ROUND(AT1*AG1,2),1)</f>
        <v>0</v>
      </c>
    </row>
    <row r="2" spans="1:107" x14ac:dyDescent="0.2">
      <c r="A2">
        <f>ROW(Source!A32)</f>
        <v>32</v>
      </c>
      <c r="B2">
        <v>50210945</v>
      </c>
      <c r="C2">
        <v>50211586</v>
      </c>
      <c r="D2">
        <v>45813058</v>
      </c>
      <c r="E2">
        <v>1</v>
      </c>
      <c r="F2">
        <v>1</v>
      </c>
      <c r="G2">
        <v>1</v>
      </c>
      <c r="H2">
        <v>2</v>
      </c>
      <c r="I2" t="s">
        <v>449</v>
      </c>
      <c r="J2" t="s">
        <v>450</v>
      </c>
      <c r="K2" t="s">
        <v>451</v>
      </c>
      <c r="L2">
        <v>45811227</v>
      </c>
      <c r="N2">
        <v>1013</v>
      </c>
      <c r="O2" t="s">
        <v>452</v>
      </c>
      <c r="P2" t="s">
        <v>452</v>
      </c>
      <c r="Q2">
        <v>1</v>
      </c>
      <c r="W2">
        <v>0</v>
      </c>
      <c r="X2">
        <v>-1713393205</v>
      </c>
      <c r="Y2">
        <v>2.38</v>
      </c>
      <c r="AA2">
        <v>0</v>
      </c>
      <c r="AB2">
        <v>5.09</v>
      </c>
      <c r="AC2">
        <v>0</v>
      </c>
      <c r="AD2">
        <v>0</v>
      </c>
      <c r="AE2">
        <v>0</v>
      </c>
      <c r="AF2">
        <v>5.09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2.38</v>
      </c>
      <c r="AU2" t="s">
        <v>3</v>
      </c>
      <c r="AV2">
        <v>0</v>
      </c>
      <c r="AW2">
        <v>2</v>
      </c>
      <c r="AX2">
        <v>50211590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Y2*Source!I32</f>
        <v>31.915799999999997</v>
      </c>
      <c r="CY2">
        <f>AB2</f>
        <v>5.09</v>
      </c>
      <c r="CZ2">
        <f>AF2</f>
        <v>5.09</v>
      </c>
      <c r="DA2">
        <f>AJ2</f>
        <v>1</v>
      </c>
      <c r="DB2">
        <f t="shared" si="0"/>
        <v>12.1</v>
      </c>
      <c r="DC2">
        <f t="shared" si="1"/>
        <v>0</v>
      </c>
    </row>
    <row r="3" spans="1:107" x14ac:dyDescent="0.2">
      <c r="A3">
        <f>ROW(Source!A33)</f>
        <v>33</v>
      </c>
      <c r="B3">
        <v>50210945</v>
      </c>
      <c r="C3">
        <v>50211591</v>
      </c>
      <c r="D3">
        <v>45975178</v>
      </c>
      <c r="E3">
        <v>1</v>
      </c>
      <c r="F3">
        <v>1</v>
      </c>
      <c r="G3">
        <v>1</v>
      </c>
      <c r="H3">
        <v>1</v>
      </c>
      <c r="I3" t="s">
        <v>453</v>
      </c>
      <c r="J3" t="s">
        <v>3</v>
      </c>
      <c r="K3" t="s">
        <v>454</v>
      </c>
      <c r="L3">
        <v>1476</v>
      </c>
      <c r="N3">
        <v>1013</v>
      </c>
      <c r="O3" t="s">
        <v>447</v>
      </c>
      <c r="P3" t="s">
        <v>448</v>
      </c>
      <c r="Q3">
        <v>1</v>
      </c>
      <c r="W3">
        <v>0</v>
      </c>
      <c r="X3">
        <v>1809359306</v>
      </c>
      <c r="Y3">
        <v>75.8</v>
      </c>
      <c r="AA3">
        <v>0</v>
      </c>
      <c r="AB3">
        <v>0</v>
      </c>
      <c r="AC3">
        <v>0</v>
      </c>
      <c r="AD3">
        <v>6.35</v>
      </c>
      <c r="AE3">
        <v>0</v>
      </c>
      <c r="AF3">
        <v>0</v>
      </c>
      <c r="AG3">
        <v>0</v>
      </c>
      <c r="AH3">
        <v>6.35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75.8</v>
      </c>
      <c r="AU3" t="s">
        <v>3</v>
      </c>
      <c r="AV3">
        <v>1</v>
      </c>
      <c r="AW3">
        <v>2</v>
      </c>
      <c r="AX3">
        <v>50211593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Y3*Source!I33</f>
        <v>6.8219999999999992</v>
      </c>
      <c r="CY3">
        <f>AD3</f>
        <v>6.35</v>
      </c>
      <c r="CZ3">
        <f>AH3</f>
        <v>6.35</v>
      </c>
      <c r="DA3">
        <f>AL3</f>
        <v>1</v>
      </c>
      <c r="DB3">
        <f t="shared" si="0"/>
        <v>481.3</v>
      </c>
      <c r="DC3">
        <f t="shared" si="1"/>
        <v>0</v>
      </c>
    </row>
    <row r="4" spans="1:107" x14ac:dyDescent="0.2">
      <c r="A4">
        <f>ROW(Source!A36)</f>
        <v>36</v>
      </c>
      <c r="B4">
        <v>50210945</v>
      </c>
      <c r="C4">
        <v>50358956</v>
      </c>
      <c r="D4">
        <v>45968655</v>
      </c>
      <c r="E4">
        <v>1</v>
      </c>
      <c r="F4">
        <v>1</v>
      </c>
      <c r="G4">
        <v>1</v>
      </c>
      <c r="H4">
        <v>1</v>
      </c>
      <c r="I4" t="s">
        <v>455</v>
      </c>
      <c r="J4" t="s">
        <v>3</v>
      </c>
      <c r="K4" t="s">
        <v>456</v>
      </c>
      <c r="L4">
        <v>1476</v>
      </c>
      <c r="N4">
        <v>1013</v>
      </c>
      <c r="O4" t="s">
        <v>447</v>
      </c>
      <c r="P4" t="s">
        <v>448</v>
      </c>
      <c r="Q4">
        <v>1</v>
      </c>
      <c r="W4">
        <v>0</v>
      </c>
      <c r="X4">
        <v>421273387</v>
      </c>
      <c r="Y4">
        <v>9.74</v>
      </c>
      <c r="AA4">
        <v>0</v>
      </c>
      <c r="AB4">
        <v>0</v>
      </c>
      <c r="AC4">
        <v>0</v>
      </c>
      <c r="AD4">
        <v>6.94</v>
      </c>
      <c r="AE4">
        <v>0</v>
      </c>
      <c r="AF4">
        <v>0</v>
      </c>
      <c r="AG4">
        <v>0</v>
      </c>
      <c r="AH4">
        <v>6.94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9.74</v>
      </c>
      <c r="AU4" t="s">
        <v>3</v>
      </c>
      <c r="AV4">
        <v>1</v>
      </c>
      <c r="AW4">
        <v>2</v>
      </c>
      <c r="AX4">
        <v>50358957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Y4*Source!I36</f>
        <v>12.4672</v>
      </c>
      <c r="CY4">
        <f>AD4</f>
        <v>6.94</v>
      </c>
      <c r="CZ4">
        <f>AH4</f>
        <v>6.94</v>
      </c>
      <c r="DA4">
        <f>AL4</f>
        <v>1</v>
      </c>
      <c r="DB4">
        <f t="shared" si="0"/>
        <v>67.599999999999994</v>
      </c>
      <c r="DC4">
        <f t="shared" si="1"/>
        <v>0</v>
      </c>
    </row>
    <row r="5" spans="1:107" x14ac:dyDescent="0.2">
      <c r="A5">
        <f>ROW(Source!A36)</f>
        <v>36</v>
      </c>
      <c r="B5">
        <v>50210945</v>
      </c>
      <c r="C5">
        <v>50358956</v>
      </c>
      <c r="D5">
        <v>45811604</v>
      </c>
      <c r="E5">
        <v>1</v>
      </c>
      <c r="F5">
        <v>1</v>
      </c>
      <c r="G5">
        <v>1</v>
      </c>
      <c r="H5">
        <v>2</v>
      </c>
      <c r="I5" t="s">
        <v>457</v>
      </c>
      <c r="J5" t="s">
        <v>458</v>
      </c>
      <c r="K5" t="s">
        <v>459</v>
      </c>
      <c r="L5">
        <v>45811227</v>
      </c>
      <c r="N5">
        <v>1013</v>
      </c>
      <c r="O5" t="s">
        <v>452</v>
      </c>
      <c r="P5" t="s">
        <v>452</v>
      </c>
      <c r="Q5">
        <v>1</v>
      </c>
      <c r="W5">
        <v>0</v>
      </c>
      <c r="X5">
        <v>774653779</v>
      </c>
      <c r="Y5">
        <v>4.53</v>
      </c>
      <c r="AA5">
        <v>0</v>
      </c>
      <c r="AB5">
        <v>32.5</v>
      </c>
      <c r="AC5">
        <v>0</v>
      </c>
      <c r="AD5">
        <v>0</v>
      </c>
      <c r="AE5">
        <v>0</v>
      </c>
      <c r="AF5">
        <v>32.5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4.53</v>
      </c>
      <c r="AU5" t="s">
        <v>3</v>
      </c>
      <c r="AV5">
        <v>0</v>
      </c>
      <c r="AW5">
        <v>2</v>
      </c>
      <c r="AX5">
        <v>50358958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Y5*Source!I36</f>
        <v>5.7984</v>
      </c>
      <c r="CY5">
        <f>AB5</f>
        <v>32.5</v>
      </c>
      <c r="CZ5">
        <f>AF5</f>
        <v>32.5</v>
      </c>
      <c r="DA5">
        <f>AJ5</f>
        <v>1</v>
      </c>
      <c r="DB5">
        <f t="shared" si="0"/>
        <v>147.19999999999999</v>
      </c>
      <c r="DC5">
        <f t="shared" si="1"/>
        <v>0</v>
      </c>
    </row>
    <row r="6" spans="1:107" x14ac:dyDescent="0.2">
      <c r="A6">
        <f>ROW(Source!A36)</f>
        <v>36</v>
      </c>
      <c r="B6">
        <v>50210945</v>
      </c>
      <c r="C6">
        <v>50358956</v>
      </c>
      <c r="D6">
        <v>45813004</v>
      </c>
      <c r="E6">
        <v>1</v>
      </c>
      <c r="F6">
        <v>1</v>
      </c>
      <c r="G6">
        <v>1</v>
      </c>
      <c r="H6">
        <v>2</v>
      </c>
      <c r="I6" t="s">
        <v>460</v>
      </c>
      <c r="J6" t="s">
        <v>461</v>
      </c>
      <c r="K6" t="s">
        <v>462</v>
      </c>
      <c r="L6">
        <v>45811227</v>
      </c>
      <c r="N6">
        <v>1013</v>
      </c>
      <c r="O6" t="s">
        <v>452</v>
      </c>
      <c r="P6" t="s">
        <v>452</v>
      </c>
      <c r="Q6">
        <v>1</v>
      </c>
      <c r="W6">
        <v>0</v>
      </c>
      <c r="X6">
        <v>72613353</v>
      </c>
      <c r="Y6">
        <v>9.06</v>
      </c>
      <c r="AA6">
        <v>0</v>
      </c>
      <c r="AB6">
        <v>1.53</v>
      </c>
      <c r="AC6">
        <v>0</v>
      </c>
      <c r="AD6">
        <v>0</v>
      </c>
      <c r="AE6">
        <v>0</v>
      </c>
      <c r="AF6">
        <v>1.53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9.06</v>
      </c>
      <c r="AU6" t="s">
        <v>3</v>
      </c>
      <c r="AV6">
        <v>0</v>
      </c>
      <c r="AW6">
        <v>2</v>
      </c>
      <c r="AX6">
        <v>50358959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Y6*Source!I36</f>
        <v>11.5968</v>
      </c>
      <c r="CY6">
        <f>AB6</f>
        <v>1.53</v>
      </c>
      <c r="CZ6">
        <f>AF6</f>
        <v>1.53</v>
      </c>
      <c r="DA6">
        <f>AJ6</f>
        <v>1</v>
      </c>
      <c r="DB6">
        <f t="shared" si="0"/>
        <v>13.9</v>
      </c>
      <c r="DC6">
        <f t="shared" si="1"/>
        <v>0</v>
      </c>
    </row>
    <row r="7" spans="1:107" x14ac:dyDescent="0.2">
      <c r="A7">
        <f>ROW(Source!A37)</f>
        <v>37</v>
      </c>
      <c r="B7">
        <v>50210945</v>
      </c>
      <c r="C7">
        <v>50211614</v>
      </c>
      <c r="D7">
        <v>45975178</v>
      </c>
      <c r="E7">
        <v>1</v>
      </c>
      <c r="F7">
        <v>1</v>
      </c>
      <c r="G7">
        <v>1</v>
      </c>
      <c r="H7">
        <v>1</v>
      </c>
      <c r="I7" t="s">
        <v>453</v>
      </c>
      <c r="J7" t="s">
        <v>3</v>
      </c>
      <c r="K7" t="s">
        <v>454</v>
      </c>
      <c r="L7">
        <v>1476</v>
      </c>
      <c r="N7">
        <v>1013</v>
      </c>
      <c r="O7" t="s">
        <v>447</v>
      </c>
      <c r="P7" t="s">
        <v>448</v>
      </c>
      <c r="Q7">
        <v>1</v>
      </c>
      <c r="W7">
        <v>0</v>
      </c>
      <c r="X7">
        <v>1809359306</v>
      </c>
      <c r="Y7">
        <v>13.121499999999999</v>
      </c>
      <c r="AA7">
        <v>0</v>
      </c>
      <c r="AB7">
        <v>0</v>
      </c>
      <c r="AC7">
        <v>0</v>
      </c>
      <c r="AD7">
        <v>6.35</v>
      </c>
      <c r="AE7">
        <v>0</v>
      </c>
      <c r="AF7">
        <v>0</v>
      </c>
      <c r="AG7">
        <v>0</v>
      </c>
      <c r="AH7">
        <v>6.35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11.41</v>
      </c>
      <c r="AU7" t="s">
        <v>12</v>
      </c>
      <c r="AV7">
        <v>1</v>
      </c>
      <c r="AW7">
        <v>2</v>
      </c>
      <c r="AX7">
        <v>50211620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Y7*Source!I37</f>
        <v>5.5871347</v>
      </c>
      <c r="CY7">
        <f>AD7</f>
        <v>6.35</v>
      </c>
      <c r="CZ7">
        <f>AH7</f>
        <v>6.35</v>
      </c>
      <c r="DA7">
        <f>AL7</f>
        <v>1</v>
      </c>
      <c r="DB7">
        <f>ROUND((ROUND(AT7*CZ7,2)*1.15),1)</f>
        <v>83.3</v>
      </c>
      <c r="DC7">
        <f>ROUND((ROUND(AT7*AG7,2)*1.15),1)</f>
        <v>0</v>
      </c>
    </row>
    <row r="8" spans="1:107" x14ac:dyDescent="0.2">
      <c r="A8">
        <f>ROW(Source!A37)</f>
        <v>37</v>
      </c>
      <c r="B8">
        <v>50210945</v>
      </c>
      <c r="C8">
        <v>50211614</v>
      </c>
      <c r="D8">
        <v>121548</v>
      </c>
      <c r="E8">
        <v>1</v>
      </c>
      <c r="F8">
        <v>1</v>
      </c>
      <c r="G8">
        <v>1</v>
      </c>
      <c r="H8">
        <v>1</v>
      </c>
      <c r="I8" t="s">
        <v>25</v>
      </c>
      <c r="J8" t="s">
        <v>3</v>
      </c>
      <c r="K8" t="s">
        <v>463</v>
      </c>
      <c r="L8">
        <v>608254</v>
      </c>
      <c r="N8">
        <v>1013</v>
      </c>
      <c r="O8" t="s">
        <v>464</v>
      </c>
      <c r="P8" t="s">
        <v>464</v>
      </c>
      <c r="Q8">
        <v>1</v>
      </c>
      <c r="W8">
        <v>0</v>
      </c>
      <c r="X8">
        <v>-185737400</v>
      </c>
      <c r="Y8">
        <v>41.362500000000004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33.090000000000003</v>
      </c>
      <c r="AU8" t="s">
        <v>11</v>
      </c>
      <c r="AV8">
        <v>2</v>
      </c>
      <c r="AW8">
        <v>2</v>
      </c>
      <c r="AX8">
        <v>50211621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Y8*Source!I37</f>
        <v>17.612152500000001</v>
      </c>
      <c r="CY8">
        <f>AD8</f>
        <v>0</v>
      </c>
      <c r="CZ8">
        <f>AH8</f>
        <v>0</v>
      </c>
      <c r="DA8">
        <f>AL8</f>
        <v>1</v>
      </c>
      <c r="DB8">
        <f>ROUND((ROUND(AT8*CZ8,2)*1.25),1)</f>
        <v>0</v>
      </c>
      <c r="DC8">
        <f>ROUND((ROUND(AT8*AG8,2)*1.25),1)</f>
        <v>0</v>
      </c>
    </row>
    <row r="9" spans="1:107" x14ac:dyDescent="0.2">
      <c r="A9">
        <f>ROW(Source!A37)</f>
        <v>37</v>
      </c>
      <c r="B9">
        <v>50210945</v>
      </c>
      <c r="C9">
        <v>50211614</v>
      </c>
      <c r="D9">
        <v>45811638</v>
      </c>
      <c r="E9">
        <v>1</v>
      </c>
      <c r="F9">
        <v>1</v>
      </c>
      <c r="G9">
        <v>1</v>
      </c>
      <c r="H9">
        <v>2</v>
      </c>
      <c r="I9" t="s">
        <v>465</v>
      </c>
      <c r="J9" t="s">
        <v>466</v>
      </c>
      <c r="K9" t="s">
        <v>467</v>
      </c>
      <c r="L9">
        <v>45811227</v>
      </c>
      <c r="N9">
        <v>1013</v>
      </c>
      <c r="O9" t="s">
        <v>452</v>
      </c>
      <c r="P9" t="s">
        <v>452</v>
      </c>
      <c r="Q9">
        <v>1</v>
      </c>
      <c r="W9">
        <v>0</v>
      </c>
      <c r="X9">
        <v>227209990</v>
      </c>
      <c r="Y9">
        <v>31.5625</v>
      </c>
      <c r="AA9">
        <v>0</v>
      </c>
      <c r="AB9">
        <v>125.46</v>
      </c>
      <c r="AC9">
        <v>13.26</v>
      </c>
      <c r="AD9">
        <v>0</v>
      </c>
      <c r="AE9">
        <v>0</v>
      </c>
      <c r="AF9">
        <v>125.46</v>
      </c>
      <c r="AG9">
        <v>13.26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25.25</v>
      </c>
      <c r="AU9" t="s">
        <v>11</v>
      </c>
      <c r="AV9">
        <v>0</v>
      </c>
      <c r="AW9">
        <v>2</v>
      </c>
      <c r="AX9">
        <v>50211622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Y9*Source!I37</f>
        <v>13.4393125</v>
      </c>
      <c r="CY9">
        <f>AB9</f>
        <v>125.46</v>
      </c>
      <c r="CZ9">
        <f>AF9</f>
        <v>125.46</v>
      </c>
      <c r="DA9">
        <f>AJ9</f>
        <v>1</v>
      </c>
      <c r="DB9">
        <f>ROUND((ROUND(AT9*CZ9,2)*1.25),1)</f>
        <v>3959.8</v>
      </c>
      <c r="DC9">
        <f>ROUND((ROUND(AT9*AG9,2)*1.25),1)</f>
        <v>418.5</v>
      </c>
    </row>
    <row r="10" spans="1:107" x14ac:dyDescent="0.2">
      <c r="A10">
        <f>ROW(Source!A37)</f>
        <v>37</v>
      </c>
      <c r="B10">
        <v>50210945</v>
      </c>
      <c r="C10">
        <v>50211614</v>
      </c>
      <c r="D10">
        <v>45811709</v>
      </c>
      <c r="E10">
        <v>1</v>
      </c>
      <c r="F10">
        <v>1</v>
      </c>
      <c r="G10">
        <v>1</v>
      </c>
      <c r="H10">
        <v>2</v>
      </c>
      <c r="I10" t="s">
        <v>468</v>
      </c>
      <c r="J10" t="s">
        <v>469</v>
      </c>
      <c r="K10" t="s">
        <v>470</v>
      </c>
      <c r="L10">
        <v>45811227</v>
      </c>
      <c r="N10">
        <v>1013</v>
      </c>
      <c r="O10" t="s">
        <v>452</v>
      </c>
      <c r="P10" t="s">
        <v>452</v>
      </c>
      <c r="Q10">
        <v>1</v>
      </c>
      <c r="W10">
        <v>0</v>
      </c>
      <c r="X10">
        <v>-1764643830</v>
      </c>
      <c r="Y10">
        <v>9.8000000000000007</v>
      </c>
      <c r="AA10">
        <v>0</v>
      </c>
      <c r="AB10">
        <v>79.75</v>
      </c>
      <c r="AC10">
        <v>13.26</v>
      </c>
      <c r="AD10">
        <v>0</v>
      </c>
      <c r="AE10">
        <v>0</v>
      </c>
      <c r="AF10">
        <v>79.75</v>
      </c>
      <c r="AG10">
        <v>13.26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7.84</v>
      </c>
      <c r="AU10" t="s">
        <v>11</v>
      </c>
      <c r="AV10">
        <v>0</v>
      </c>
      <c r="AW10">
        <v>2</v>
      </c>
      <c r="AX10">
        <v>50211623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Y10*Source!I37</f>
        <v>4.1728400000000008</v>
      </c>
      <c r="CY10">
        <f>AB10</f>
        <v>79.75</v>
      </c>
      <c r="CZ10">
        <f>AF10</f>
        <v>79.75</v>
      </c>
      <c r="DA10">
        <f>AJ10</f>
        <v>1</v>
      </c>
      <c r="DB10">
        <f>ROUND((ROUND(AT10*CZ10,2)*1.25),1)</f>
        <v>781.6</v>
      </c>
      <c r="DC10">
        <f>ROUND((ROUND(AT10*AG10,2)*1.25),1)</f>
        <v>130</v>
      </c>
    </row>
    <row r="11" spans="1:107" x14ac:dyDescent="0.2">
      <c r="A11">
        <f>ROW(Source!A37)</f>
        <v>37</v>
      </c>
      <c r="B11">
        <v>50210945</v>
      </c>
      <c r="C11">
        <v>50211614</v>
      </c>
      <c r="D11">
        <v>45864814</v>
      </c>
      <c r="E11">
        <v>1</v>
      </c>
      <c r="F11">
        <v>1</v>
      </c>
      <c r="G11">
        <v>1</v>
      </c>
      <c r="H11">
        <v>3</v>
      </c>
      <c r="I11" t="s">
        <v>471</v>
      </c>
      <c r="J11" t="s">
        <v>472</v>
      </c>
      <c r="K11" t="s">
        <v>473</v>
      </c>
      <c r="L11">
        <v>1339</v>
      </c>
      <c r="N11">
        <v>1007</v>
      </c>
      <c r="O11" t="s">
        <v>153</v>
      </c>
      <c r="P11" t="s">
        <v>153</v>
      </c>
      <c r="Q11">
        <v>1</v>
      </c>
      <c r="W11">
        <v>0</v>
      </c>
      <c r="X11">
        <v>-1334857364</v>
      </c>
      <c r="Y11">
        <v>0.04</v>
      </c>
      <c r="AA11">
        <v>121.11</v>
      </c>
      <c r="AB11">
        <v>0</v>
      </c>
      <c r="AC11">
        <v>0</v>
      </c>
      <c r="AD11">
        <v>0</v>
      </c>
      <c r="AE11">
        <v>121.11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0.04</v>
      </c>
      <c r="AU11" t="s">
        <v>3</v>
      </c>
      <c r="AV11">
        <v>0</v>
      </c>
      <c r="AW11">
        <v>2</v>
      </c>
      <c r="AX11">
        <v>50211624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Y11*Source!I37</f>
        <v>1.7032000000000002E-2</v>
      </c>
      <c r="CY11">
        <f>AA11</f>
        <v>121.11</v>
      </c>
      <c r="CZ11">
        <f>AE11</f>
        <v>121.11</v>
      </c>
      <c r="DA11">
        <f>AI11</f>
        <v>1</v>
      </c>
      <c r="DB11">
        <f t="shared" ref="DB11:DB22" si="2">ROUND(ROUND(AT11*CZ11,2),1)</f>
        <v>4.8</v>
      </c>
      <c r="DC11">
        <f t="shared" ref="DC11:DC22" si="3">ROUND(ROUND(AT11*AG11,2),1)</f>
        <v>0</v>
      </c>
    </row>
    <row r="12" spans="1:107" x14ac:dyDescent="0.2">
      <c r="A12">
        <f>ROW(Source!A39)</f>
        <v>39</v>
      </c>
      <c r="B12">
        <v>50210945</v>
      </c>
      <c r="C12">
        <v>50211626</v>
      </c>
      <c r="D12">
        <v>45976914</v>
      </c>
      <c r="E12">
        <v>1</v>
      </c>
      <c r="F12">
        <v>1</v>
      </c>
      <c r="G12">
        <v>1</v>
      </c>
      <c r="H12">
        <v>1</v>
      </c>
      <c r="I12" t="s">
        <v>474</v>
      </c>
      <c r="J12" t="s">
        <v>3</v>
      </c>
      <c r="K12" t="s">
        <v>475</v>
      </c>
      <c r="L12">
        <v>1476</v>
      </c>
      <c r="N12">
        <v>1013</v>
      </c>
      <c r="O12" t="s">
        <v>447</v>
      </c>
      <c r="P12" t="s">
        <v>448</v>
      </c>
      <c r="Q12">
        <v>1</v>
      </c>
      <c r="W12">
        <v>0</v>
      </c>
      <c r="X12">
        <v>1477335111</v>
      </c>
      <c r="Y12">
        <v>0.42</v>
      </c>
      <c r="AA12">
        <v>0</v>
      </c>
      <c r="AB12">
        <v>0</v>
      </c>
      <c r="AC12">
        <v>0</v>
      </c>
      <c r="AD12">
        <v>6.88</v>
      </c>
      <c r="AE12">
        <v>0</v>
      </c>
      <c r="AF12">
        <v>0</v>
      </c>
      <c r="AG12">
        <v>0</v>
      </c>
      <c r="AH12">
        <v>6.88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0.42</v>
      </c>
      <c r="AU12" t="s">
        <v>3</v>
      </c>
      <c r="AV12">
        <v>1</v>
      </c>
      <c r="AW12">
        <v>2</v>
      </c>
      <c r="AX12">
        <v>50211634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Y12*Source!I39</f>
        <v>9.8308140000000002</v>
      </c>
      <c r="CY12">
        <f>AD12</f>
        <v>6.88</v>
      </c>
      <c r="CZ12">
        <f>AH12</f>
        <v>6.88</v>
      </c>
      <c r="DA12">
        <f>AL12</f>
        <v>1</v>
      </c>
      <c r="DB12">
        <f t="shared" si="2"/>
        <v>2.9</v>
      </c>
      <c r="DC12">
        <f t="shared" si="3"/>
        <v>0</v>
      </c>
    </row>
    <row r="13" spans="1:107" x14ac:dyDescent="0.2">
      <c r="A13">
        <f>ROW(Source!A39)</f>
        <v>39</v>
      </c>
      <c r="B13">
        <v>50210945</v>
      </c>
      <c r="C13">
        <v>50211626</v>
      </c>
      <c r="D13">
        <v>121548</v>
      </c>
      <c r="E13">
        <v>1</v>
      </c>
      <c r="F13">
        <v>1</v>
      </c>
      <c r="G13">
        <v>1</v>
      </c>
      <c r="H13">
        <v>1</v>
      </c>
      <c r="I13" t="s">
        <v>25</v>
      </c>
      <c r="J13" t="s">
        <v>3</v>
      </c>
      <c r="K13" t="s">
        <v>463</v>
      </c>
      <c r="L13">
        <v>608254</v>
      </c>
      <c r="N13">
        <v>1013</v>
      </c>
      <c r="O13" t="s">
        <v>464</v>
      </c>
      <c r="P13" t="s">
        <v>464</v>
      </c>
      <c r="Q13">
        <v>1</v>
      </c>
      <c r="W13">
        <v>0</v>
      </c>
      <c r="X13">
        <v>-185737400</v>
      </c>
      <c r="Y13">
        <v>0.91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0.91</v>
      </c>
      <c r="AU13" t="s">
        <v>3</v>
      </c>
      <c r="AV13">
        <v>2</v>
      </c>
      <c r="AW13">
        <v>2</v>
      </c>
      <c r="AX13">
        <v>50211635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Y13*Source!I39</f>
        <v>21.300097000000001</v>
      </c>
      <c r="CY13">
        <f>AD13</f>
        <v>0</v>
      </c>
      <c r="CZ13">
        <f>AH13</f>
        <v>0</v>
      </c>
      <c r="DA13">
        <f>AL13</f>
        <v>1</v>
      </c>
      <c r="DB13">
        <f t="shared" si="2"/>
        <v>0</v>
      </c>
      <c r="DC13">
        <f t="shared" si="3"/>
        <v>0</v>
      </c>
    </row>
    <row r="14" spans="1:107" x14ac:dyDescent="0.2">
      <c r="A14">
        <f>ROW(Source!A39)</f>
        <v>39</v>
      </c>
      <c r="B14">
        <v>50210945</v>
      </c>
      <c r="C14">
        <v>50211626</v>
      </c>
      <c r="D14">
        <v>45812008</v>
      </c>
      <c r="E14">
        <v>1</v>
      </c>
      <c r="F14">
        <v>1</v>
      </c>
      <c r="G14">
        <v>1</v>
      </c>
      <c r="H14">
        <v>2</v>
      </c>
      <c r="I14" t="s">
        <v>476</v>
      </c>
      <c r="J14" t="s">
        <v>477</v>
      </c>
      <c r="K14" t="s">
        <v>478</v>
      </c>
      <c r="L14">
        <v>45811227</v>
      </c>
      <c r="N14">
        <v>1013</v>
      </c>
      <c r="O14" t="s">
        <v>452</v>
      </c>
      <c r="P14" t="s">
        <v>452</v>
      </c>
      <c r="Q14">
        <v>1</v>
      </c>
      <c r="W14">
        <v>0</v>
      </c>
      <c r="X14">
        <v>-566661351</v>
      </c>
      <c r="Y14">
        <v>0.44</v>
      </c>
      <c r="AA14">
        <v>0</v>
      </c>
      <c r="AB14">
        <v>86.28</v>
      </c>
      <c r="AC14">
        <v>11.38</v>
      </c>
      <c r="AD14">
        <v>0</v>
      </c>
      <c r="AE14">
        <v>0</v>
      </c>
      <c r="AF14">
        <v>86.28</v>
      </c>
      <c r="AG14">
        <v>11.38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0.44</v>
      </c>
      <c r="AU14" t="s">
        <v>3</v>
      </c>
      <c r="AV14">
        <v>0</v>
      </c>
      <c r="AW14">
        <v>2</v>
      </c>
      <c r="AX14">
        <v>50211636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Y14*Source!I39</f>
        <v>10.298948000000001</v>
      </c>
      <c r="CY14">
        <f>AB14</f>
        <v>86.28</v>
      </c>
      <c r="CZ14">
        <f>AF14</f>
        <v>86.28</v>
      </c>
      <c r="DA14">
        <f>AJ14</f>
        <v>1</v>
      </c>
      <c r="DB14">
        <f t="shared" si="2"/>
        <v>38</v>
      </c>
      <c r="DC14">
        <f t="shared" si="3"/>
        <v>5</v>
      </c>
    </row>
    <row r="15" spans="1:107" x14ac:dyDescent="0.2">
      <c r="A15">
        <f>ROW(Source!A39)</f>
        <v>39</v>
      </c>
      <c r="B15">
        <v>50210945</v>
      </c>
      <c r="C15">
        <v>50211626</v>
      </c>
      <c r="D15">
        <v>45812009</v>
      </c>
      <c r="E15">
        <v>1</v>
      </c>
      <c r="F15">
        <v>1</v>
      </c>
      <c r="G15">
        <v>1</v>
      </c>
      <c r="H15">
        <v>2</v>
      </c>
      <c r="I15" t="s">
        <v>479</v>
      </c>
      <c r="J15" t="s">
        <v>480</v>
      </c>
      <c r="K15" t="s">
        <v>481</v>
      </c>
      <c r="L15">
        <v>45811227</v>
      </c>
      <c r="N15">
        <v>1013</v>
      </c>
      <c r="O15" t="s">
        <v>452</v>
      </c>
      <c r="P15" t="s">
        <v>452</v>
      </c>
      <c r="Q15">
        <v>1</v>
      </c>
      <c r="W15">
        <v>0</v>
      </c>
      <c r="X15">
        <v>-1075265446</v>
      </c>
      <c r="Y15">
        <v>0.03</v>
      </c>
      <c r="AA15">
        <v>0</v>
      </c>
      <c r="AB15">
        <v>110</v>
      </c>
      <c r="AC15">
        <v>11.38</v>
      </c>
      <c r="AD15">
        <v>0</v>
      </c>
      <c r="AE15">
        <v>0</v>
      </c>
      <c r="AF15">
        <v>110</v>
      </c>
      <c r="AG15">
        <v>11.38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0.03</v>
      </c>
      <c r="AU15" t="s">
        <v>3</v>
      </c>
      <c r="AV15">
        <v>0</v>
      </c>
      <c r="AW15">
        <v>2</v>
      </c>
      <c r="AX15">
        <v>50211637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Y15*Source!I39</f>
        <v>0.70220099999999996</v>
      </c>
      <c r="CY15">
        <f>AB15</f>
        <v>110</v>
      </c>
      <c r="CZ15">
        <f>AF15</f>
        <v>110</v>
      </c>
      <c r="DA15">
        <f>AJ15</f>
        <v>1</v>
      </c>
      <c r="DB15">
        <f t="shared" si="2"/>
        <v>3.3</v>
      </c>
      <c r="DC15">
        <f t="shared" si="3"/>
        <v>0.3</v>
      </c>
    </row>
    <row r="16" spans="1:107" x14ac:dyDescent="0.2">
      <c r="A16">
        <f>ROW(Source!A39)</f>
        <v>39</v>
      </c>
      <c r="B16">
        <v>50210945</v>
      </c>
      <c r="C16">
        <v>50211626</v>
      </c>
      <c r="D16">
        <v>45812060</v>
      </c>
      <c r="E16">
        <v>1</v>
      </c>
      <c r="F16">
        <v>1</v>
      </c>
      <c r="G16">
        <v>1</v>
      </c>
      <c r="H16">
        <v>2</v>
      </c>
      <c r="I16" t="s">
        <v>482</v>
      </c>
      <c r="J16" t="s">
        <v>483</v>
      </c>
      <c r="K16" t="s">
        <v>484</v>
      </c>
      <c r="L16">
        <v>45811227</v>
      </c>
      <c r="N16">
        <v>1013</v>
      </c>
      <c r="O16" t="s">
        <v>452</v>
      </c>
      <c r="P16" t="s">
        <v>452</v>
      </c>
      <c r="Q16">
        <v>1</v>
      </c>
      <c r="W16">
        <v>0</v>
      </c>
      <c r="X16">
        <v>1917548612</v>
      </c>
      <c r="Y16">
        <v>0.44</v>
      </c>
      <c r="AA16">
        <v>0</v>
      </c>
      <c r="AB16">
        <v>1411.2</v>
      </c>
      <c r="AC16">
        <v>13.26</v>
      </c>
      <c r="AD16">
        <v>0</v>
      </c>
      <c r="AE16">
        <v>0</v>
      </c>
      <c r="AF16">
        <v>1411.2</v>
      </c>
      <c r="AG16">
        <v>13.26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0.44</v>
      </c>
      <c r="AU16" t="s">
        <v>3</v>
      </c>
      <c r="AV16">
        <v>0</v>
      </c>
      <c r="AW16">
        <v>2</v>
      </c>
      <c r="AX16">
        <v>50211638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Y16*Source!I39</f>
        <v>10.298948000000001</v>
      </c>
      <c r="CY16">
        <f>AB16</f>
        <v>1411.2</v>
      </c>
      <c r="CZ16">
        <f>AF16</f>
        <v>1411.2</v>
      </c>
      <c r="DA16">
        <f>AJ16</f>
        <v>1</v>
      </c>
      <c r="DB16">
        <f t="shared" si="2"/>
        <v>620.9</v>
      </c>
      <c r="DC16">
        <f t="shared" si="3"/>
        <v>5.8</v>
      </c>
    </row>
    <row r="17" spans="1:107" x14ac:dyDescent="0.2">
      <c r="A17">
        <f>ROW(Source!A39)</f>
        <v>39</v>
      </c>
      <c r="B17">
        <v>50210945</v>
      </c>
      <c r="C17">
        <v>50211626</v>
      </c>
      <c r="D17">
        <v>45813333</v>
      </c>
      <c r="E17">
        <v>1</v>
      </c>
      <c r="F17">
        <v>1</v>
      </c>
      <c r="G17">
        <v>1</v>
      </c>
      <c r="H17">
        <v>2</v>
      </c>
      <c r="I17" t="s">
        <v>485</v>
      </c>
      <c r="J17" t="s">
        <v>486</v>
      </c>
      <c r="K17" t="s">
        <v>487</v>
      </c>
      <c r="L17">
        <v>45811227</v>
      </c>
      <c r="N17">
        <v>1013</v>
      </c>
      <c r="O17" t="s">
        <v>452</v>
      </c>
      <c r="P17" t="s">
        <v>452</v>
      </c>
      <c r="Q17">
        <v>1</v>
      </c>
      <c r="W17">
        <v>0</v>
      </c>
      <c r="X17">
        <v>1306812301</v>
      </c>
      <c r="Y17">
        <v>0.35</v>
      </c>
      <c r="AA17">
        <v>0</v>
      </c>
      <c r="AB17">
        <v>137.72999999999999</v>
      </c>
      <c r="AC17">
        <v>0</v>
      </c>
      <c r="AD17">
        <v>0</v>
      </c>
      <c r="AE17">
        <v>0</v>
      </c>
      <c r="AF17">
        <v>137.72999999999999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0.35</v>
      </c>
      <c r="AU17" t="s">
        <v>3</v>
      </c>
      <c r="AV17">
        <v>0</v>
      </c>
      <c r="AW17">
        <v>2</v>
      </c>
      <c r="AX17">
        <v>50211639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Y17*Source!I39</f>
        <v>8.1923449999999995</v>
      </c>
      <c r="CY17">
        <f>AB17</f>
        <v>137.72999999999999</v>
      </c>
      <c r="CZ17">
        <f>AF17</f>
        <v>137.72999999999999</v>
      </c>
      <c r="DA17">
        <f>AJ17</f>
        <v>1</v>
      </c>
      <c r="DB17">
        <f t="shared" si="2"/>
        <v>48.2</v>
      </c>
      <c r="DC17">
        <f t="shared" si="3"/>
        <v>0</v>
      </c>
    </row>
    <row r="18" spans="1:107" x14ac:dyDescent="0.2">
      <c r="A18">
        <f>ROW(Source!A39)</f>
        <v>39</v>
      </c>
      <c r="B18">
        <v>50210945</v>
      </c>
      <c r="C18">
        <v>50211626</v>
      </c>
      <c r="D18">
        <v>45865353</v>
      </c>
      <c r="E18">
        <v>1</v>
      </c>
      <c r="F18">
        <v>1</v>
      </c>
      <c r="G18">
        <v>1</v>
      </c>
      <c r="H18">
        <v>3</v>
      </c>
      <c r="I18" t="s">
        <v>488</v>
      </c>
      <c r="J18" t="s">
        <v>489</v>
      </c>
      <c r="K18" t="s">
        <v>490</v>
      </c>
      <c r="L18">
        <v>1339</v>
      </c>
      <c r="N18">
        <v>1007</v>
      </c>
      <c r="O18" t="s">
        <v>153</v>
      </c>
      <c r="P18" t="s">
        <v>153</v>
      </c>
      <c r="Q18">
        <v>1</v>
      </c>
      <c r="W18">
        <v>0</v>
      </c>
      <c r="X18">
        <v>-1025641989</v>
      </c>
      <c r="Y18">
        <v>0.17499999999999999</v>
      </c>
      <c r="AA18">
        <v>2.2599999999999998</v>
      </c>
      <c r="AB18">
        <v>0</v>
      </c>
      <c r="AC18">
        <v>0</v>
      </c>
      <c r="AD18">
        <v>0</v>
      </c>
      <c r="AE18">
        <v>2.2599999999999998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0.17499999999999999</v>
      </c>
      <c r="AU18" t="s">
        <v>3</v>
      </c>
      <c r="AV18">
        <v>0</v>
      </c>
      <c r="AW18">
        <v>2</v>
      </c>
      <c r="AX18">
        <v>50211640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Y18*Source!I39</f>
        <v>4.0961724999999998</v>
      </c>
      <c r="CY18">
        <f>AA18</f>
        <v>2.2599999999999998</v>
      </c>
      <c r="CZ18">
        <f>AE18</f>
        <v>2.2599999999999998</v>
      </c>
      <c r="DA18">
        <f>AI18</f>
        <v>1</v>
      </c>
      <c r="DB18">
        <f t="shared" si="2"/>
        <v>0.4</v>
      </c>
      <c r="DC18">
        <f t="shared" si="3"/>
        <v>0</v>
      </c>
    </row>
    <row r="19" spans="1:107" x14ac:dyDescent="0.2">
      <c r="A19">
        <f>ROW(Source!A40)</f>
        <v>40</v>
      </c>
      <c r="B19">
        <v>50210945</v>
      </c>
      <c r="C19">
        <v>50211641</v>
      </c>
      <c r="D19">
        <v>45979759</v>
      </c>
      <c r="E19">
        <v>1</v>
      </c>
      <c r="F19">
        <v>1</v>
      </c>
      <c r="G19">
        <v>1</v>
      </c>
      <c r="H19">
        <v>1</v>
      </c>
      <c r="I19" t="s">
        <v>491</v>
      </c>
      <c r="J19" t="s">
        <v>3</v>
      </c>
      <c r="K19" t="s">
        <v>492</v>
      </c>
      <c r="L19">
        <v>1476</v>
      </c>
      <c r="N19">
        <v>1013</v>
      </c>
      <c r="O19" t="s">
        <v>447</v>
      </c>
      <c r="P19" t="s">
        <v>448</v>
      </c>
      <c r="Q19">
        <v>1</v>
      </c>
      <c r="W19">
        <v>0</v>
      </c>
      <c r="X19">
        <v>-662630881</v>
      </c>
      <c r="Y19">
        <v>68.260000000000005</v>
      </c>
      <c r="AA19">
        <v>0</v>
      </c>
      <c r="AB19">
        <v>0</v>
      </c>
      <c r="AC19">
        <v>0</v>
      </c>
      <c r="AD19">
        <v>7.03</v>
      </c>
      <c r="AE19">
        <v>0</v>
      </c>
      <c r="AF19">
        <v>0</v>
      </c>
      <c r="AG19">
        <v>0</v>
      </c>
      <c r="AH19">
        <v>7.03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68.260000000000005</v>
      </c>
      <c r="AU19" t="s">
        <v>3</v>
      </c>
      <c r="AV19">
        <v>1</v>
      </c>
      <c r="AW19">
        <v>2</v>
      </c>
      <c r="AX19">
        <v>50211646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Y19*Source!I40</f>
        <v>298.50098000000003</v>
      </c>
      <c r="CY19">
        <f>AD19</f>
        <v>7.03</v>
      </c>
      <c r="CZ19">
        <f>AH19</f>
        <v>7.03</v>
      </c>
      <c r="DA19">
        <f>AL19</f>
        <v>1</v>
      </c>
      <c r="DB19">
        <f t="shared" si="2"/>
        <v>479.9</v>
      </c>
      <c r="DC19">
        <f t="shared" si="3"/>
        <v>0</v>
      </c>
    </row>
    <row r="20" spans="1:107" x14ac:dyDescent="0.2">
      <c r="A20">
        <f>ROW(Source!A40)</f>
        <v>40</v>
      </c>
      <c r="B20">
        <v>50210945</v>
      </c>
      <c r="C20">
        <v>50211641</v>
      </c>
      <c r="D20">
        <v>121548</v>
      </c>
      <c r="E20">
        <v>1</v>
      </c>
      <c r="F20">
        <v>1</v>
      </c>
      <c r="G20">
        <v>1</v>
      </c>
      <c r="H20">
        <v>1</v>
      </c>
      <c r="I20" t="s">
        <v>25</v>
      </c>
      <c r="J20" t="s">
        <v>3</v>
      </c>
      <c r="K20" t="s">
        <v>463</v>
      </c>
      <c r="L20">
        <v>608254</v>
      </c>
      <c r="N20">
        <v>1013</v>
      </c>
      <c r="O20" t="s">
        <v>464</v>
      </c>
      <c r="P20" t="s">
        <v>464</v>
      </c>
      <c r="Q20">
        <v>1</v>
      </c>
      <c r="W20">
        <v>0</v>
      </c>
      <c r="X20">
        <v>-185737400</v>
      </c>
      <c r="Y20">
        <v>9.4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9.4</v>
      </c>
      <c r="AU20" t="s">
        <v>3</v>
      </c>
      <c r="AV20">
        <v>2</v>
      </c>
      <c r="AW20">
        <v>2</v>
      </c>
      <c r="AX20">
        <v>50211647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Y20*Source!I40</f>
        <v>41.106200000000001</v>
      </c>
      <c r="CY20">
        <f>AD20</f>
        <v>0</v>
      </c>
      <c r="CZ20">
        <f>AH20</f>
        <v>0</v>
      </c>
      <c r="DA20">
        <f>AL20</f>
        <v>1</v>
      </c>
      <c r="DB20">
        <f t="shared" si="2"/>
        <v>0</v>
      </c>
      <c r="DC20">
        <f t="shared" si="3"/>
        <v>0</v>
      </c>
    </row>
    <row r="21" spans="1:107" x14ac:dyDescent="0.2">
      <c r="A21">
        <f>ROW(Source!A40)</f>
        <v>40</v>
      </c>
      <c r="B21">
        <v>50210945</v>
      </c>
      <c r="C21">
        <v>50211641</v>
      </c>
      <c r="D21">
        <v>45811598</v>
      </c>
      <c r="E21">
        <v>1</v>
      </c>
      <c r="F21">
        <v>1</v>
      </c>
      <c r="G21">
        <v>1</v>
      </c>
      <c r="H21">
        <v>2</v>
      </c>
      <c r="I21" t="s">
        <v>493</v>
      </c>
      <c r="J21" t="s">
        <v>494</v>
      </c>
      <c r="K21" t="s">
        <v>495</v>
      </c>
      <c r="L21">
        <v>45811227</v>
      </c>
      <c r="N21">
        <v>1013</v>
      </c>
      <c r="O21" t="s">
        <v>452</v>
      </c>
      <c r="P21" t="s">
        <v>452</v>
      </c>
      <c r="Q21">
        <v>1</v>
      </c>
      <c r="W21">
        <v>0</v>
      </c>
      <c r="X21">
        <v>-283582980</v>
      </c>
      <c r="Y21">
        <v>9.4</v>
      </c>
      <c r="AA21">
        <v>0</v>
      </c>
      <c r="AB21">
        <v>89.82</v>
      </c>
      <c r="AC21">
        <v>9.8800000000000008</v>
      </c>
      <c r="AD21">
        <v>0</v>
      </c>
      <c r="AE21">
        <v>0</v>
      </c>
      <c r="AF21">
        <v>89.82</v>
      </c>
      <c r="AG21">
        <v>9.8800000000000008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9.4</v>
      </c>
      <c r="AU21" t="s">
        <v>3</v>
      </c>
      <c r="AV21">
        <v>0</v>
      </c>
      <c r="AW21">
        <v>2</v>
      </c>
      <c r="AX21">
        <v>50211648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Y21*Source!I40</f>
        <v>41.106200000000001</v>
      </c>
      <c r="CY21">
        <f>AB21</f>
        <v>89.82</v>
      </c>
      <c r="CZ21">
        <f>AF21</f>
        <v>89.82</v>
      </c>
      <c r="DA21">
        <f>AJ21</f>
        <v>1</v>
      </c>
      <c r="DB21">
        <f t="shared" si="2"/>
        <v>844.3</v>
      </c>
      <c r="DC21">
        <f t="shared" si="3"/>
        <v>92.9</v>
      </c>
    </row>
    <row r="22" spans="1:107" x14ac:dyDescent="0.2">
      <c r="A22">
        <f>ROW(Source!A40)</f>
        <v>40</v>
      </c>
      <c r="B22">
        <v>50210945</v>
      </c>
      <c r="C22">
        <v>50211641</v>
      </c>
      <c r="D22">
        <v>45813004</v>
      </c>
      <c r="E22">
        <v>1</v>
      </c>
      <c r="F22">
        <v>1</v>
      </c>
      <c r="G22">
        <v>1</v>
      </c>
      <c r="H22">
        <v>2</v>
      </c>
      <c r="I22" t="s">
        <v>460</v>
      </c>
      <c r="J22" t="s">
        <v>461</v>
      </c>
      <c r="K22" t="s">
        <v>462</v>
      </c>
      <c r="L22">
        <v>45811227</v>
      </c>
      <c r="N22">
        <v>1013</v>
      </c>
      <c r="O22" t="s">
        <v>452</v>
      </c>
      <c r="P22" t="s">
        <v>452</v>
      </c>
      <c r="Q22">
        <v>1</v>
      </c>
      <c r="W22">
        <v>0</v>
      </c>
      <c r="X22">
        <v>72613353</v>
      </c>
      <c r="Y22">
        <v>28.2</v>
      </c>
      <c r="AA22">
        <v>0</v>
      </c>
      <c r="AB22">
        <v>1.53</v>
      </c>
      <c r="AC22">
        <v>0</v>
      </c>
      <c r="AD22">
        <v>0</v>
      </c>
      <c r="AE22">
        <v>0</v>
      </c>
      <c r="AF22">
        <v>1.53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28.2</v>
      </c>
      <c r="AU22" t="s">
        <v>3</v>
      </c>
      <c r="AV22">
        <v>0</v>
      </c>
      <c r="AW22">
        <v>2</v>
      </c>
      <c r="AX22">
        <v>50211649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Y22*Source!I40</f>
        <v>123.3186</v>
      </c>
      <c r="CY22">
        <f>AB22</f>
        <v>1.53</v>
      </c>
      <c r="CZ22">
        <f>AF22</f>
        <v>1.53</v>
      </c>
      <c r="DA22">
        <f>AJ22</f>
        <v>1</v>
      </c>
      <c r="DB22">
        <f t="shared" si="2"/>
        <v>43.2</v>
      </c>
      <c r="DC22">
        <f t="shared" si="3"/>
        <v>0</v>
      </c>
    </row>
    <row r="23" spans="1:107" x14ac:dyDescent="0.2">
      <c r="A23">
        <f>ROW(Source!A113)</f>
        <v>113</v>
      </c>
      <c r="B23">
        <v>50210945</v>
      </c>
      <c r="C23">
        <v>50211653</v>
      </c>
      <c r="D23">
        <v>45976664</v>
      </c>
      <c r="E23">
        <v>1</v>
      </c>
      <c r="F23">
        <v>1</v>
      </c>
      <c r="G23">
        <v>1</v>
      </c>
      <c r="H23">
        <v>1</v>
      </c>
      <c r="I23" t="s">
        <v>496</v>
      </c>
      <c r="J23" t="s">
        <v>3</v>
      </c>
      <c r="K23" t="s">
        <v>497</v>
      </c>
      <c r="L23">
        <v>1476</v>
      </c>
      <c r="N23">
        <v>1013</v>
      </c>
      <c r="O23" t="s">
        <v>447</v>
      </c>
      <c r="P23" t="s">
        <v>448</v>
      </c>
      <c r="Q23">
        <v>1</v>
      </c>
      <c r="W23">
        <v>0</v>
      </c>
      <c r="X23">
        <v>-1013341582</v>
      </c>
      <c r="Y23">
        <v>18.077999999999999</v>
      </c>
      <c r="AA23">
        <v>0</v>
      </c>
      <c r="AB23">
        <v>0</v>
      </c>
      <c r="AC23">
        <v>0</v>
      </c>
      <c r="AD23">
        <v>6.52</v>
      </c>
      <c r="AE23">
        <v>0</v>
      </c>
      <c r="AF23">
        <v>0</v>
      </c>
      <c r="AG23">
        <v>0</v>
      </c>
      <c r="AH23">
        <v>6.52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15.72</v>
      </c>
      <c r="AU23" t="s">
        <v>12</v>
      </c>
      <c r="AV23">
        <v>1</v>
      </c>
      <c r="AW23">
        <v>2</v>
      </c>
      <c r="AX23">
        <v>50211662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Y23*Source!I113</f>
        <v>9.772966799999999</v>
      </c>
      <c r="CY23">
        <f>AD23</f>
        <v>6.52</v>
      </c>
      <c r="CZ23">
        <f>AH23</f>
        <v>6.52</v>
      </c>
      <c r="DA23">
        <f>AL23</f>
        <v>1</v>
      </c>
      <c r="DB23">
        <f>ROUND((ROUND(AT23*CZ23,2)*1.15),1)</f>
        <v>117.9</v>
      </c>
      <c r="DC23">
        <f>ROUND((ROUND(AT23*AG23,2)*1.15),1)</f>
        <v>0</v>
      </c>
    </row>
    <row r="24" spans="1:107" x14ac:dyDescent="0.2">
      <c r="A24">
        <f>ROW(Source!A113)</f>
        <v>113</v>
      </c>
      <c r="B24">
        <v>50210945</v>
      </c>
      <c r="C24">
        <v>50211653</v>
      </c>
      <c r="D24">
        <v>121548</v>
      </c>
      <c r="E24">
        <v>1</v>
      </c>
      <c r="F24">
        <v>1</v>
      </c>
      <c r="G24">
        <v>1</v>
      </c>
      <c r="H24">
        <v>1</v>
      </c>
      <c r="I24" t="s">
        <v>25</v>
      </c>
      <c r="J24" t="s">
        <v>3</v>
      </c>
      <c r="K24" t="s">
        <v>463</v>
      </c>
      <c r="L24">
        <v>608254</v>
      </c>
      <c r="N24">
        <v>1013</v>
      </c>
      <c r="O24" t="s">
        <v>464</v>
      </c>
      <c r="P24" t="s">
        <v>464</v>
      </c>
      <c r="Q24">
        <v>1</v>
      </c>
      <c r="W24">
        <v>0</v>
      </c>
      <c r="X24">
        <v>-185737400</v>
      </c>
      <c r="Y24">
        <v>17.350000000000001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13.88</v>
      </c>
      <c r="AU24" t="s">
        <v>11</v>
      </c>
      <c r="AV24">
        <v>2</v>
      </c>
      <c r="AW24">
        <v>2</v>
      </c>
      <c r="AX24">
        <v>50211663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Y24*Source!I113</f>
        <v>9.37941</v>
      </c>
      <c r="CY24">
        <f>AD24</f>
        <v>0</v>
      </c>
      <c r="CZ24">
        <f>AH24</f>
        <v>0</v>
      </c>
      <c r="DA24">
        <f>AL24</f>
        <v>1</v>
      </c>
      <c r="DB24">
        <f>ROUND((ROUND(AT24*CZ24,2)*1.25),1)</f>
        <v>0</v>
      </c>
      <c r="DC24">
        <f>ROUND((ROUND(AT24*AG24,2)*1.25),1)</f>
        <v>0</v>
      </c>
    </row>
    <row r="25" spans="1:107" x14ac:dyDescent="0.2">
      <c r="A25">
        <f>ROW(Source!A113)</f>
        <v>113</v>
      </c>
      <c r="B25">
        <v>50210945</v>
      </c>
      <c r="C25">
        <v>50211653</v>
      </c>
      <c r="D25">
        <v>45811426</v>
      </c>
      <c r="E25">
        <v>1</v>
      </c>
      <c r="F25">
        <v>1</v>
      </c>
      <c r="G25">
        <v>1</v>
      </c>
      <c r="H25">
        <v>2</v>
      </c>
      <c r="I25" t="s">
        <v>498</v>
      </c>
      <c r="J25" t="s">
        <v>499</v>
      </c>
      <c r="K25" t="s">
        <v>500</v>
      </c>
      <c r="L25">
        <v>45811227</v>
      </c>
      <c r="N25">
        <v>1013</v>
      </c>
      <c r="O25" t="s">
        <v>452</v>
      </c>
      <c r="P25" t="s">
        <v>452</v>
      </c>
      <c r="Q25">
        <v>1</v>
      </c>
      <c r="W25">
        <v>0</v>
      </c>
      <c r="X25">
        <v>-1615317198</v>
      </c>
      <c r="Y25">
        <v>5.3624999999999998</v>
      </c>
      <c r="AA25">
        <v>0</v>
      </c>
      <c r="AB25">
        <v>89.81</v>
      </c>
      <c r="AC25">
        <v>9.8800000000000008</v>
      </c>
      <c r="AD25">
        <v>0</v>
      </c>
      <c r="AE25">
        <v>0</v>
      </c>
      <c r="AF25">
        <v>89.81</v>
      </c>
      <c r="AG25">
        <v>9.8800000000000008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4.29</v>
      </c>
      <c r="AU25" t="s">
        <v>11</v>
      </c>
      <c r="AV25">
        <v>0</v>
      </c>
      <c r="AW25">
        <v>2</v>
      </c>
      <c r="AX25">
        <v>50211664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Y25*Source!I113</f>
        <v>2.8989674999999999</v>
      </c>
      <c r="CY25">
        <f>AB25</f>
        <v>89.81</v>
      </c>
      <c r="CZ25">
        <f>AF25</f>
        <v>89.81</v>
      </c>
      <c r="DA25">
        <f>AJ25</f>
        <v>1</v>
      </c>
      <c r="DB25">
        <f>ROUND((ROUND(AT25*CZ25,2)*1.25),1)</f>
        <v>481.6</v>
      </c>
      <c r="DC25">
        <f>ROUND((ROUND(AT25*AG25,2)*1.25),1)</f>
        <v>53</v>
      </c>
    </row>
    <row r="26" spans="1:107" x14ac:dyDescent="0.2">
      <c r="A26">
        <f>ROW(Source!A113)</f>
        <v>113</v>
      </c>
      <c r="B26">
        <v>50210945</v>
      </c>
      <c r="C26">
        <v>50211653</v>
      </c>
      <c r="D26">
        <v>45811921</v>
      </c>
      <c r="E26">
        <v>1</v>
      </c>
      <c r="F26">
        <v>1</v>
      </c>
      <c r="G26">
        <v>1</v>
      </c>
      <c r="H26">
        <v>2</v>
      </c>
      <c r="I26" t="s">
        <v>501</v>
      </c>
      <c r="J26" t="s">
        <v>502</v>
      </c>
      <c r="K26" t="s">
        <v>503</v>
      </c>
      <c r="L26">
        <v>45811227</v>
      </c>
      <c r="N26">
        <v>1013</v>
      </c>
      <c r="O26" t="s">
        <v>452</v>
      </c>
      <c r="P26" t="s">
        <v>452</v>
      </c>
      <c r="Q26">
        <v>1</v>
      </c>
      <c r="W26">
        <v>0</v>
      </c>
      <c r="X26">
        <v>-1104063720</v>
      </c>
      <c r="Y26">
        <v>2.2124999999999999</v>
      </c>
      <c r="AA26">
        <v>0</v>
      </c>
      <c r="AB26">
        <v>122.76</v>
      </c>
      <c r="AC26">
        <v>13.26</v>
      </c>
      <c r="AD26">
        <v>0</v>
      </c>
      <c r="AE26">
        <v>0</v>
      </c>
      <c r="AF26">
        <v>122.76</v>
      </c>
      <c r="AG26">
        <v>13.26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1.77</v>
      </c>
      <c r="AU26" t="s">
        <v>11</v>
      </c>
      <c r="AV26">
        <v>0</v>
      </c>
      <c r="AW26">
        <v>2</v>
      </c>
      <c r="AX26">
        <v>50211665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Y26*Source!I113</f>
        <v>1.1960774999999999</v>
      </c>
      <c r="CY26">
        <f>AB26</f>
        <v>122.76</v>
      </c>
      <c r="CZ26">
        <f>AF26</f>
        <v>122.76</v>
      </c>
      <c r="DA26">
        <f>AJ26</f>
        <v>1</v>
      </c>
      <c r="DB26">
        <f>ROUND((ROUND(AT26*CZ26,2)*1.25),1)</f>
        <v>271.60000000000002</v>
      </c>
      <c r="DC26">
        <f>ROUND((ROUND(AT26*AG26,2)*1.25),1)</f>
        <v>29.3</v>
      </c>
    </row>
    <row r="27" spans="1:107" x14ac:dyDescent="0.2">
      <c r="A27">
        <f>ROW(Source!A113)</f>
        <v>113</v>
      </c>
      <c r="B27">
        <v>50210945</v>
      </c>
      <c r="C27">
        <v>50211653</v>
      </c>
      <c r="D27">
        <v>45811951</v>
      </c>
      <c r="E27">
        <v>1</v>
      </c>
      <c r="F27">
        <v>1</v>
      </c>
      <c r="G27">
        <v>1</v>
      </c>
      <c r="H27">
        <v>2</v>
      </c>
      <c r="I27" t="s">
        <v>504</v>
      </c>
      <c r="J27" t="s">
        <v>505</v>
      </c>
      <c r="K27" t="s">
        <v>506</v>
      </c>
      <c r="L27">
        <v>45811227</v>
      </c>
      <c r="N27">
        <v>1013</v>
      </c>
      <c r="O27" t="s">
        <v>452</v>
      </c>
      <c r="P27" t="s">
        <v>452</v>
      </c>
      <c r="Q27">
        <v>1</v>
      </c>
      <c r="W27">
        <v>0</v>
      </c>
      <c r="X27">
        <v>1987113411</v>
      </c>
      <c r="Y27">
        <v>8.85</v>
      </c>
      <c r="AA27">
        <v>0</v>
      </c>
      <c r="AB27">
        <v>205.75</v>
      </c>
      <c r="AC27">
        <v>14.14</v>
      </c>
      <c r="AD27">
        <v>0</v>
      </c>
      <c r="AE27">
        <v>0</v>
      </c>
      <c r="AF27">
        <v>205.75</v>
      </c>
      <c r="AG27">
        <v>14.14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7.08</v>
      </c>
      <c r="AU27" t="s">
        <v>11</v>
      </c>
      <c r="AV27">
        <v>0</v>
      </c>
      <c r="AW27">
        <v>2</v>
      </c>
      <c r="AX27">
        <v>50211666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Y27*Source!I113</f>
        <v>4.7843099999999996</v>
      </c>
      <c r="CY27">
        <f>AB27</f>
        <v>205.75</v>
      </c>
      <c r="CZ27">
        <f>AF27</f>
        <v>205.75</v>
      </c>
      <c r="DA27">
        <f>AJ27</f>
        <v>1</v>
      </c>
      <c r="DB27">
        <f>ROUND((ROUND(AT27*CZ27,2)*1.25),1)</f>
        <v>1820.9</v>
      </c>
      <c r="DC27">
        <f>ROUND((ROUND(AT27*AG27,2)*1.25),1)</f>
        <v>125.1</v>
      </c>
    </row>
    <row r="28" spans="1:107" x14ac:dyDescent="0.2">
      <c r="A28">
        <f>ROW(Source!A113)</f>
        <v>113</v>
      </c>
      <c r="B28">
        <v>50210945</v>
      </c>
      <c r="C28">
        <v>50211653</v>
      </c>
      <c r="D28">
        <v>45812009</v>
      </c>
      <c r="E28">
        <v>1</v>
      </c>
      <c r="F28">
        <v>1</v>
      </c>
      <c r="G28">
        <v>1</v>
      </c>
      <c r="H28">
        <v>2</v>
      </c>
      <c r="I28" t="s">
        <v>479</v>
      </c>
      <c r="J28" t="s">
        <v>480</v>
      </c>
      <c r="K28" t="s">
        <v>481</v>
      </c>
      <c r="L28">
        <v>45811227</v>
      </c>
      <c r="N28">
        <v>1013</v>
      </c>
      <c r="O28" t="s">
        <v>452</v>
      </c>
      <c r="P28" t="s">
        <v>452</v>
      </c>
      <c r="Q28">
        <v>1</v>
      </c>
      <c r="W28">
        <v>0</v>
      </c>
      <c r="X28">
        <v>-1075265446</v>
      </c>
      <c r="Y28">
        <v>0.92500000000000004</v>
      </c>
      <c r="AA28">
        <v>0</v>
      </c>
      <c r="AB28">
        <v>110</v>
      </c>
      <c r="AC28">
        <v>11.38</v>
      </c>
      <c r="AD28">
        <v>0</v>
      </c>
      <c r="AE28">
        <v>0</v>
      </c>
      <c r="AF28">
        <v>110</v>
      </c>
      <c r="AG28">
        <v>11.38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0.74</v>
      </c>
      <c r="AU28" t="s">
        <v>11</v>
      </c>
      <c r="AV28">
        <v>0</v>
      </c>
      <c r="AW28">
        <v>2</v>
      </c>
      <c r="AX28">
        <v>50211667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Y28*Source!I113</f>
        <v>0.50005500000000003</v>
      </c>
      <c r="CY28">
        <f>AB28</f>
        <v>110</v>
      </c>
      <c r="CZ28">
        <f>AF28</f>
        <v>110</v>
      </c>
      <c r="DA28">
        <f>AJ28</f>
        <v>1</v>
      </c>
      <c r="DB28">
        <f>ROUND((ROUND(AT28*CZ28,2)*1.25),1)</f>
        <v>101.8</v>
      </c>
      <c r="DC28">
        <f>ROUND((ROUND(AT28*AG28,2)*1.25),1)</f>
        <v>10.5</v>
      </c>
    </row>
    <row r="29" spans="1:107" x14ac:dyDescent="0.2">
      <c r="A29">
        <f>ROW(Source!A113)</f>
        <v>113</v>
      </c>
      <c r="B29">
        <v>50210945</v>
      </c>
      <c r="C29">
        <v>50211653</v>
      </c>
      <c r="D29">
        <v>45864906</v>
      </c>
      <c r="E29">
        <v>1</v>
      </c>
      <c r="F29">
        <v>1</v>
      </c>
      <c r="G29">
        <v>1</v>
      </c>
      <c r="H29">
        <v>3</v>
      </c>
      <c r="I29" t="s">
        <v>151</v>
      </c>
      <c r="J29" t="s">
        <v>154</v>
      </c>
      <c r="K29" t="s">
        <v>152</v>
      </c>
      <c r="L29">
        <v>1339</v>
      </c>
      <c r="N29">
        <v>1007</v>
      </c>
      <c r="O29" t="s">
        <v>153</v>
      </c>
      <c r="P29" t="s">
        <v>153</v>
      </c>
      <c r="Q29">
        <v>1</v>
      </c>
      <c r="W29">
        <v>0</v>
      </c>
      <c r="X29">
        <v>-215471597</v>
      </c>
      <c r="Y29">
        <v>110</v>
      </c>
      <c r="AA29">
        <v>51.17</v>
      </c>
      <c r="AB29">
        <v>0</v>
      </c>
      <c r="AC29">
        <v>0</v>
      </c>
      <c r="AD29">
        <v>0</v>
      </c>
      <c r="AE29">
        <v>51.17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1</v>
      </c>
      <c r="AO29">
        <v>0</v>
      </c>
      <c r="AP29">
        <v>0</v>
      </c>
      <c r="AQ29">
        <v>0</v>
      </c>
      <c r="AR29">
        <v>0</v>
      </c>
      <c r="AS29" t="s">
        <v>3</v>
      </c>
      <c r="AT29">
        <v>110</v>
      </c>
      <c r="AU29" t="s">
        <v>3</v>
      </c>
      <c r="AV29">
        <v>0</v>
      </c>
      <c r="AW29">
        <v>1</v>
      </c>
      <c r="AX29">
        <v>-1</v>
      </c>
      <c r="AY29">
        <v>0</v>
      </c>
      <c r="AZ29">
        <v>0</v>
      </c>
      <c r="BA29" t="s">
        <v>3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Y29*Source!I113</f>
        <v>59.465999999999994</v>
      </c>
      <c r="CY29">
        <f>AA29</f>
        <v>51.17</v>
      </c>
      <c r="CZ29">
        <f>AE29</f>
        <v>51.17</v>
      </c>
      <c r="DA29">
        <f>AI29</f>
        <v>1</v>
      </c>
      <c r="DB29">
        <f>ROUND(ROUND(AT29*CZ29,2),1)</f>
        <v>5628.7</v>
      </c>
      <c r="DC29">
        <f>ROUND(ROUND(AT29*AG29,2),1)</f>
        <v>0</v>
      </c>
    </row>
    <row r="30" spans="1:107" x14ac:dyDescent="0.2">
      <c r="A30">
        <f>ROW(Source!A113)</f>
        <v>113</v>
      </c>
      <c r="B30">
        <v>50210945</v>
      </c>
      <c r="C30">
        <v>50211653</v>
      </c>
      <c r="D30">
        <v>45865353</v>
      </c>
      <c r="E30">
        <v>1</v>
      </c>
      <c r="F30">
        <v>1</v>
      </c>
      <c r="G30">
        <v>1</v>
      </c>
      <c r="H30">
        <v>3</v>
      </c>
      <c r="I30" t="s">
        <v>488</v>
      </c>
      <c r="J30" t="s">
        <v>489</v>
      </c>
      <c r="K30" t="s">
        <v>490</v>
      </c>
      <c r="L30">
        <v>1339</v>
      </c>
      <c r="N30">
        <v>1007</v>
      </c>
      <c r="O30" t="s">
        <v>153</v>
      </c>
      <c r="P30" t="s">
        <v>153</v>
      </c>
      <c r="Q30">
        <v>1</v>
      </c>
      <c r="W30">
        <v>0</v>
      </c>
      <c r="X30">
        <v>-1025641989</v>
      </c>
      <c r="Y30">
        <v>5</v>
      </c>
      <c r="AA30">
        <v>2.2599999999999998</v>
      </c>
      <c r="AB30">
        <v>0</v>
      </c>
      <c r="AC30">
        <v>0</v>
      </c>
      <c r="AD30">
        <v>0</v>
      </c>
      <c r="AE30">
        <v>2.2599999999999998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5</v>
      </c>
      <c r="AU30" t="s">
        <v>3</v>
      </c>
      <c r="AV30">
        <v>0</v>
      </c>
      <c r="AW30">
        <v>2</v>
      </c>
      <c r="AX30">
        <v>50211669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Y30*Source!I113</f>
        <v>2.7029999999999998</v>
      </c>
      <c r="CY30">
        <f>AA30</f>
        <v>2.2599999999999998</v>
      </c>
      <c r="CZ30">
        <f>AE30</f>
        <v>2.2599999999999998</v>
      </c>
      <c r="DA30">
        <f>AI30</f>
        <v>1</v>
      </c>
      <c r="DB30">
        <f>ROUND(ROUND(AT30*CZ30,2),1)</f>
        <v>11.3</v>
      </c>
      <c r="DC30">
        <f>ROUND(ROUND(AT30*AG30,2),1)</f>
        <v>0</v>
      </c>
    </row>
    <row r="31" spans="1:107" x14ac:dyDescent="0.2">
      <c r="A31">
        <f>ROW(Source!A115)</f>
        <v>115</v>
      </c>
      <c r="B31">
        <v>50210945</v>
      </c>
      <c r="C31">
        <v>50211671</v>
      </c>
      <c r="D31">
        <v>45978326</v>
      </c>
      <c r="E31">
        <v>1</v>
      </c>
      <c r="F31">
        <v>1</v>
      </c>
      <c r="G31">
        <v>1</v>
      </c>
      <c r="H31">
        <v>1</v>
      </c>
      <c r="I31" t="s">
        <v>507</v>
      </c>
      <c r="J31" t="s">
        <v>3</v>
      </c>
      <c r="K31" t="s">
        <v>508</v>
      </c>
      <c r="L31">
        <v>1476</v>
      </c>
      <c r="N31">
        <v>1013</v>
      </c>
      <c r="O31" t="s">
        <v>447</v>
      </c>
      <c r="P31" t="s">
        <v>448</v>
      </c>
      <c r="Q31">
        <v>1</v>
      </c>
      <c r="W31">
        <v>0</v>
      </c>
      <c r="X31">
        <v>2017347174</v>
      </c>
      <c r="Y31">
        <v>27.8185</v>
      </c>
      <c r="AA31">
        <v>0</v>
      </c>
      <c r="AB31">
        <v>0</v>
      </c>
      <c r="AC31">
        <v>0</v>
      </c>
      <c r="AD31">
        <v>6.58</v>
      </c>
      <c r="AE31">
        <v>0</v>
      </c>
      <c r="AF31">
        <v>0</v>
      </c>
      <c r="AG31">
        <v>0</v>
      </c>
      <c r="AH31">
        <v>6.58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24.19</v>
      </c>
      <c r="AU31" t="s">
        <v>12</v>
      </c>
      <c r="AV31">
        <v>1</v>
      </c>
      <c r="AW31">
        <v>2</v>
      </c>
      <c r="AX31">
        <v>50211681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Y31*Source!I115</f>
        <v>9.0243213999999998</v>
      </c>
      <c r="CY31">
        <f>AD31</f>
        <v>6.58</v>
      </c>
      <c r="CZ31">
        <f>AH31</f>
        <v>6.58</v>
      </c>
      <c r="DA31">
        <f>AL31</f>
        <v>1</v>
      </c>
      <c r="DB31">
        <f>ROUND((ROUND(AT31*CZ31,2)*1.15),1)</f>
        <v>183</v>
      </c>
      <c r="DC31">
        <f>ROUND((ROUND(AT31*AG31,2)*1.15),1)</f>
        <v>0</v>
      </c>
    </row>
    <row r="32" spans="1:107" x14ac:dyDescent="0.2">
      <c r="A32">
        <f>ROW(Source!A115)</f>
        <v>115</v>
      </c>
      <c r="B32">
        <v>50210945</v>
      </c>
      <c r="C32">
        <v>50211671</v>
      </c>
      <c r="D32">
        <v>121548</v>
      </c>
      <c r="E32">
        <v>1</v>
      </c>
      <c r="F32">
        <v>1</v>
      </c>
      <c r="G32">
        <v>1</v>
      </c>
      <c r="H32">
        <v>1</v>
      </c>
      <c r="I32" t="s">
        <v>25</v>
      </c>
      <c r="J32" t="s">
        <v>3</v>
      </c>
      <c r="K32" t="s">
        <v>463</v>
      </c>
      <c r="L32">
        <v>608254</v>
      </c>
      <c r="N32">
        <v>1013</v>
      </c>
      <c r="O32" t="s">
        <v>464</v>
      </c>
      <c r="P32" t="s">
        <v>464</v>
      </c>
      <c r="Q32">
        <v>1</v>
      </c>
      <c r="W32">
        <v>0</v>
      </c>
      <c r="X32">
        <v>-185737400</v>
      </c>
      <c r="Y32">
        <v>25.75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20.6</v>
      </c>
      <c r="AU32" t="s">
        <v>11</v>
      </c>
      <c r="AV32">
        <v>2</v>
      </c>
      <c r="AW32">
        <v>2</v>
      </c>
      <c r="AX32">
        <v>50211682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Y32*Source!I115</f>
        <v>8.3533000000000008</v>
      </c>
      <c r="CY32">
        <f>AD32</f>
        <v>0</v>
      </c>
      <c r="CZ32">
        <f>AH32</f>
        <v>0</v>
      </c>
      <c r="DA32">
        <f>AL32</f>
        <v>1</v>
      </c>
      <c r="DB32">
        <f t="shared" ref="DB32:DB37" si="4">ROUND((ROUND(AT32*CZ32,2)*1.25),1)</f>
        <v>0</v>
      </c>
      <c r="DC32">
        <f t="shared" ref="DC32:DC37" si="5">ROUND((ROUND(AT32*AG32,2)*1.25),1)</f>
        <v>0</v>
      </c>
    </row>
    <row r="33" spans="1:107" x14ac:dyDescent="0.2">
      <c r="A33">
        <f>ROW(Source!A115)</f>
        <v>115</v>
      </c>
      <c r="B33">
        <v>50210945</v>
      </c>
      <c r="C33">
        <v>50211671</v>
      </c>
      <c r="D33">
        <v>45811426</v>
      </c>
      <c r="E33">
        <v>1</v>
      </c>
      <c r="F33">
        <v>1</v>
      </c>
      <c r="G33">
        <v>1</v>
      </c>
      <c r="H33">
        <v>2</v>
      </c>
      <c r="I33" t="s">
        <v>498</v>
      </c>
      <c r="J33" t="s">
        <v>499</v>
      </c>
      <c r="K33" t="s">
        <v>500</v>
      </c>
      <c r="L33">
        <v>45811227</v>
      </c>
      <c r="N33">
        <v>1013</v>
      </c>
      <c r="O33" t="s">
        <v>452</v>
      </c>
      <c r="P33" t="s">
        <v>452</v>
      </c>
      <c r="Q33">
        <v>1</v>
      </c>
      <c r="W33">
        <v>0</v>
      </c>
      <c r="X33">
        <v>-1615317198</v>
      </c>
      <c r="Y33">
        <v>3.0750000000000002</v>
      </c>
      <c r="AA33">
        <v>0</v>
      </c>
      <c r="AB33">
        <v>89.81</v>
      </c>
      <c r="AC33">
        <v>9.8800000000000008</v>
      </c>
      <c r="AD33">
        <v>0</v>
      </c>
      <c r="AE33">
        <v>0</v>
      </c>
      <c r="AF33">
        <v>89.81</v>
      </c>
      <c r="AG33">
        <v>9.8800000000000008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2.46</v>
      </c>
      <c r="AU33" t="s">
        <v>11</v>
      </c>
      <c r="AV33">
        <v>0</v>
      </c>
      <c r="AW33">
        <v>2</v>
      </c>
      <c r="AX33">
        <v>50211683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Y33*Source!I115</f>
        <v>0.99753000000000014</v>
      </c>
      <c r="CY33">
        <f>AB33</f>
        <v>89.81</v>
      </c>
      <c r="CZ33">
        <f>AF33</f>
        <v>89.81</v>
      </c>
      <c r="DA33">
        <f>AJ33</f>
        <v>1</v>
      </c>
      <c r="DB33">
        <f t="shared" si="4"/>
        <v>276.2</v>
      </c>
      <c r="DC33">
        <f t="shared" si="5"/>
        <v>30.4</v>
      </c>
    </row>
    <row r="34" spans="1:107" x14ac:dyDescent="0.2">
      <c r="A34">
        <f>ROW(Source!A115)</f>
        <v>115</v>
      </c>
      <c r="B34">
        <v>50210945</v>
      </c>
      <c r="C34">
        <v>50211671</v>
      </c>
      <c r="D34">
        <v>45811709</v>
      </c>
      <c r="E34">
        <v>1</v>
      </c>
      <c r="F34">
        <v>1</v>
      </c>
      <c r="G34">
        <v>1</v>
      </c>
      <c r="H34">
        <v>2</v>
      </c>
      <c r="I34" t="s">
        <v>468</v>
      </c>
      <c r="J34" t="s">
        <v>469</v>
      </c>
      <c r="K34" t="s">
        <v>470</v>
      </c>
      <c r="L34">
        <v>45811227</v>
      </c>
      <c r="N34">
        <v>1013</v>
      </c>
      <c r="O34" t="s">
        <v>452</v>
      </c>
      <c r="P34" t="s">
        <v>452</v>
      </c>
      <c r="Q34">
        <v>1</v>
      </c>
      <c r="W34">
        <v>0</v>
      </c>
      <c r="X34">
        <v>-1764643830</v>
      </c>
      <c r="Y34">
        <v>3.2374999999999998</v>
      </c>
      <c r="AA34">
        <v>0</v>
      </c>
      <c r="AB34">
        <v>79.75</v>
      </c>
      <c r="AC34">
        <v>13.26</v>
      </c>
      <c r="AD34">
        <v>0</v>
      </c>
      <c r="AE34">
        <v>0</v>
      </c>
      <c r="AF34">
        <v>79.75</v>
      </c>
      <c r="AG34">
        <v>13.26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2.59</v>
      </c>
      <c r="AU34" t="s">
        <v>11</v>
      </c>
      <c r="AV34">
        <v>0</v>
      </c>
      <c r="AW34">
        <v>2</v>
      </c>
      <c r="AX34">
        <v>50211684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Y34*Source!I115</f>
        <v>1.0502450000000001</v>
      </c>
      <c r="CY34">
        <f>AB34</f>
        <v>79.75</v>
      </c>
      <c r="CZ34">
        <f>AF34</f>
        <v>79.75</v>
      </c>
      <c r="DA34">
        <f>AJ34</f>
        <v>1</v>
      </c>
      <c r="DB34">
        <f t="shared" si="4"/>
        <v>258.2</v>
      </c>
      <c r="DC34">
        <f t="shared" si="5"/>
        <v>42.9</v>
      </c>
    </row>
    <row r="35" spans="1:107" x14ac:dyDescent="0.2">
      <c r="A35">
        <f>ROW(Source!A115)</f>
        <v>115</v>
      </c>
      <c r="B35">
        <v>50210945</v>
      </c>
      <c r="C35">
        <v>50211671</v>
      </c>
      <c r="D35">
        <v>45811921</v>
      </c>
      <c r="E35">
        <v>1</v>
      </c>
      <c r="F35">
        <v>1</v>
      </c>
      <c r="G35">
        <v>1</v>
      </c>
      <c r="H35">
        <v>2</v>
      </c>
      <c r="I35" t="s">
        <v>501</v>
      </c>
      <c r="J35" t="s">
        <v>502</v>
      </c>
      <c r="K35" t="s">
        <v>503</v>
      </c>
      <c r="L35">
        <v>45811227</v>
      </c>
      <c r="N35">
        <v>1013</v>
      </c>
      <c r="O35" t="s">
        <v>452</v>
      </c>
      <c r="P35" t="s">
        <v>452</v>
      </c>
      <c r="Q35">
        <v>1</v>
      </c>
      <c r="W35">
        <v>0</v>
      </c>
      <c r="X35">
        <v>-1104063720</v>
      </c>
      <c r="Y35">
        <v>2.875</v>
      </c>
      <c r="AA35">
        <v>0</v>
      </c>
      <c r="AB35">
        <v>122.76</v>
      </c>
      <c r="AC35">
        <v>13.26</v>
      </c>
      <c r="AD35">
        <v>0</v>
      </c>
      <c r="AE35">
        <v>0</v>
      </c>
      <c r="AF35">
        <v>122.76</v>
      </c>
      <c r="AG35">
        <v>13.26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2.2999999999999998</v>
      </c>
      <c r="AU35" t="s">
        <v>11</v>
      </c>
      <c r="AV35">
        <v>0</v>
      </c>
      <c r="AW35">
        <v>2</v>
      </c>
      <c r="AX35">
        <v>50211685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Y35*Source!I115</f>
        <v>0.93265000000000009</v>
      </c>
      <c r="CY35">
        <f>AB35</f>
        <v>122.76</v>
      </c>
      <c r="CZ35">
        <f>AF35</f>
        <v>122.76</v>
      </c>
      <c r="DA35">
        <f>AJ35</f>
        <v>1</v>
      </c>
      <c r="DB35">
        <f t="shared" si="4"/>
        <v>352.9</v>
      </c>
      <c r="DC35">
        <f t="shared" si="5"/>
        <v>38.1</v>
      </c>
    </row>
    <row r="36" spans="1:107" x14ac:dyDescent="0.2">
      <c r="A36">
        <f>ROW(Source!A115)</f>
        <v>115</v>
      </c>
      <c r="B36">
        <v>50210945</v>
      </c>
      <c r="C36">
        <v>50211671</v>
      </c>
      <c r="D36">
        <v>45811951</v>
      </c>
      <c r="E36">
        <v>1</v>
      </c>
      <c r="F36">
        <v>1</v>
      </c>
      <c r="G36">
        <v>1</v>
      </c>
      <c r="H36">
        <v>2</v>
      </c>
      <c r="I36" t="s">
        <v>504</v>
      </c>
      <c r="J36" t="s">
        <v>505</v>
      </c>
      <c r="K36" t="s">
        <v>506</v>
      </c>
      <c r="L36">
        <v>45811227</v>
      </c>
      <c r="N36">
        <v>1013</v>
      </c>
      <c r="O36" t="s">
        <v>452</v>
      </c>
      <c r="P36" t="s">
        <v>452</v>
      </c>
      <c r="Q36">
        <v>1</v>
      </c>
      <c r="W36">
        <v>0</v>
      </c>
      <c r="X36">
        <v>1987113411</v>
      </c>
      <c r="Y36">
        <v>15.262500000000001</v>
      </c>
      <c r="AA36">
        <v>0</v>
      </c>
      <c r="AB36">
        <v>205.75</v>
      </c>
      <c r="AC36">
        <v>14.14</v>
      </c>
      <c r="AD36">
        <v>0</v>
      </c>
      <c r="AE36">
        <v>0</v>
      </c>
      <c r="AF36">
        <v>205.75</v>
      </c>
      <c r="AG36">
        <v>14.14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12.21</v>
      </c>
      <c r="AU36" t="s">
        <v>11</v>
      </c>
      <c r="AV36">
        <v>0</v>
      </c>
      <c r="AW36">
        <v>2</v>
      </c>
      <c r="AX36">
        <v>50211686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Y36*Source!I115</f>
        <v>4.9511550000000009</v>
      </c>
      <c r="CY36">
        <f>AB36</f>
        <v>205.75</v>
      </c>
      <c r="CZ36">
        <f>AF36</f>
        <v>205.75</v>
      </c>
      <c r="DA36">
        <f>AJ36</f>
        <v>1</v>
      </c>
      <c r="DB36">
        <f t="shared" si="4"/>
        <v>3140.3</v>
      </c>
      <c r="DC36">
        <f t="shared" si="5"/>
        <v>215.8</v>
      </c>
    </row>
    <row r="37" spans="1:107" x14ac:dyDescent="0.2">
      <c r="A37">
        <f>ROW(Source!A115)</f>
        <v>115</v>
      </c>
      <c r="B37">
        <v>50210945</v>
      </c>
      <c r="C37">
        <v>50211671</v>
      </c>
      <c r="D37">
        <v>45812009</v>
      </c>
      <c r="E37">
        <v>1</v>
      </c>
      <c r="F37">
        <v>1</v>
      </c>
      <c r="G37">
        <v>1</v>
      </c>
      <c r="H37">
        <v>2</v>
      </c>
      <c r="I37" t="s">
        <v>479</v>
      </c>
      <c r="J37" t="s">
        <v>480</v>
      </c>
      <c r="K37" t="s">
        <v>481</v>
      </c>
      <c r="L37">
        <v>45811227</v>
      </c>
      <c r="N37">
        <v>1013</v>
      </c>
      <c r="O37" t="s">
        <v>452</v>
      </c>
      <c r="P37" t="s">
        <v>452</v>
      </c>
      <c r="Q37">
        <v>1</v>
      </c>
      <c r="W37">
        <v>0</v>
      </c>
      <c r="X37">
        <v>-1075265446</v>
      </c>
      <c r="Y37">
        <v>1.3</v>
      </c>
      <c r="AA37">
        <v>0</v>
      </c>
      <c r="AB37">
        <v>110</v>
      </c>
      <c r="AC37">
        <v>11.38</v>
      </c>
      <c r="AD37">
        <v>0</v>
      </c>
      <c r="AE37">
        <v>0</v>
      </c>
      <c r="AF37">
        <v>110</v>
      </c>
      <c r="AG37">
        <v>11.38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1.04</v>
      </c>
      <c r="AU37" t="s">
        <v>11</v>
      </c>
      <c r="AV37">
        <v>0</v>
      </c>
      <c r="AW37">
        <v>2</v>
      </c>
      <c r="AX37">
        <v>50211687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Y37*Source!I115</f>
        <v>0.42172000000000004</v>
      </c>
      <c r="CY37">
        <f>AB37</f>
        <v>110</v>
      </c>
      <c r="CZ37">
        <f>AF37</f>
        <v>110</v>
      </c>
      <c r="DA37">
        <f>AJ37</f>
        <v>1</v>
      </c>
      <c r="DB37">
        <f t="shared" si="4"/>
        <v>143</v>
      </c>
      <c r="DC37">
        <f t="shared" si="5"/>
        <v>14.8</v>
      </c>
    </row>
    <row r="38" spans="1:107" x14ac:dyDescent="0.2">
      <c r="A38">
        <f>ROW(Source!A115)</f>
        <v>115</v>
      </c>
      <c r="B38">
        <v>50210945</v>
      </c>
      <c r="C38">
        <v>50211671</v>
      </c>
      <c r="D38">
        <v>45864857</v>
      </c>
      <c r="E38">
        <v>1</v>
      </c>
      <c r="F38">
        <v>1</v>
      </c>
      <c r="G38">
        <v>1</v>
      </c>
      <c r="H38">
        <v>3</v>
      </c>
      <c r="I38" t="s">
        <v>160</v>
      </c>
      <c r="J38" t="s">
        <v>162</v>
      </c>
      <c r="K38" t="s">
        <v>161</v>
      </c>
      <c r="L38">
        <v>1339</v>
      </c>
      <c r="N38">
        <v>1007</v>
      </c>
      <c r="O38" t="s">
        <v>153</v>
      </c>
      <c r="P38" t="s">
        <v>153</v>
      </c>
      <c r="Q38">
        <v>1</v>
      </c>
      <c r="W38">
        <v>0</v>
      </c>
      <c r="X38">
        <v>1276216311</v>
      </c>
      <c r="Y38">
        <v>126</v>
      </c>
      <c r="AA38">
        <v>127.2</v>
      </c>
      <c r="AB38">
        <v>0</v>
      </c>
      <c r="AC38">
        <v>0</v>
      </c>
      <c r="AD38">
        <v>0</v>
      </c>
      <c r="AE38">
        <v>127.2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1</v>
      </c>
      <c r="AO38">
        <v>0</v>
      </c>
      <c r="AP38">
        <v>0</v>
      </c>
      <c r="AQ38">
        <v>0</v>
      </c>
      <c r="AR38">
        <v>0</v>
      </c>
      <c r="AS38" t="s">
        <v>3</v>
      </c>
      <c r="AT38">
        <v>126</v>
      </c>
      <c r="AU38" t="s">
        <v>3</v>
      </c>
      <c r="AV38">
        <v>0</v>
      </c>
      <c r="AW38">
        <v>1</v>
      </c>
      <c r="AX38">
        <v>-1</v>
      </c>
      <c r="AY38">
        <v>0</v>
      </c>
      <c r="AZ38">
        <v>0</v>
      </c>
      <c r="BA38" t="s">
        <v>3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Y38*Source!I115</f>
        <v>40.874400000000001</v>
      </c>
      <c r="CY38">
        <f>AA38</f>
        <v>127.2</v>
      </c>
      <c r="CZ38">
        <f>AE38</f>
        <v>127.2</v>
      </c>
      <c r="DA38">
        <f>AI38</f>
        <v>1</v>
      </c>
      <c r="DB38">
        <f>ROUND(ROUND(AT38*CZ38,2),1)</f>
        <v>16027.2</v>
      </c>
      <c r="DC38">
        <f>ROUND(ROUND(AT38*AG38,2),1)</f>
        <v>0</v>
      </c>
    </row>
    <row r="39" spans="1:107" x14ac:dyDescent="0.2">
      <c r="A39">
        <f>ROW(Source!A115)</f>
        <v>115</v>
      </c>
      <c r="B39">
        <v>50210945</v>
      </c>
      <c r="C39">
        <v>50211671</v>
      </c>
      <c r="D39">
        <v>45865353</v>
      </c>
      <c r="E39">
        <v>1</v>
      </c>
      <c r="F39">
        <v>1</v>
      </c>
      <c r="G39">
        <v>1</v>
      </c>
      <c r="H39">
        <v>3</v>
      </c>
      <c r="I39" t="s">
        <v>488</v>
      </c>
      <c r="J39" t="s">
        <v>489</v>
      </c>
      <c r="K39" t="s">
        <v>490</v>
      </c>
      <c r="L39">
        <v>1339</v>
      </c>
      <c r="N39">
        <v>1007</v>
      </c>
      <c r="O39" t="s">
        <v>153</v>
      </c>
      <c r="P39" t="s">
        <v>153</v>
      </c>
      <c r="Q39">
        <v>1</v>
      </c>
      <c r="W39">
        <v>0</v>
      </c>
      <c r="X39">
        <v>-1025641989</v>
      </c>
      <c r="Y39">
        <v>7</v>
      </c>
      <c r="AA39">
        <v>2.2599999999999998</v>
      </c>
      <c r="AB39">
        <v>0</v>
      </c>
      <c r="AC39">
        <v>0</v>
      </c>
      <c r="AD39">
        <v>0</v>
      </c>
      <c r="AE39">
        <v>2.2599999999999998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7</v>
      </c>
      <c r="AU39" t="s">
        <v>3</v>
      </c>
      <c r="AV39">
        <v>0</v>
      </c>
      <c r="AW39">
        <v>2</v>
      </c>
      <c r="AX39">
        <v>50211689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Y39*Source!I115</f>
        <v>2.2708000000000004</v>
      </c>
      <c r="CY39">
        <f>AA39</f>
        <v>2.2599999999999998</v>
      </c>
      <c r="CZ39">
        <f>AE39</f>
        <v>2.2599999999999998</v>
      </c>
      <c r="DA39">
        <f>AI39</f>
        <v>1</v>
      </c>
      <c r="DB39">
        <f>ROUND(ROUND(AT39*CZ39,2),1)</f>
        <v>15.8</v>
      </c>
      <c r="DC39">
        <f>ROUND(ROUND(AT39*AG39,2),1)</f>
        <v>0</v>
      </c>
    </row>
    <row r="40" spans="1:107" x14ac:dyDescent="0.2">
      <c r="A40">
        <f>ROW(Source!A117)</f>
        <v>117</v>
      </c>
      <c r="B40">
        <v>50210945</v>
      </c>
      <c r="C40">
        <v>50211691</v>
      </c>
      <c r="D40">
        <v>45978326</v>
      </c>
      <c r="E40">
        <v>1</v>
      </c>
      <c r="F40">
        <v>1</v>
      </c>
      <c r="G40">
        <v>1</v>
      </c>
      <c r="H40">
        <v>1</v>
      </c>
      <c r="I40" t="s">
        <v>507</v>
      </c>
      <c r="J40" t="s">
        <v>3</v>
      </c>
      <c r="K40" t="s">
        <v>508</v>
      </c>
      <c r="L40">
        <v>1476</v>
      </c>
      <c r="N40">
        <v>1013</v>
      </c>
      <c r="O40" t="s">
        <v>447</v>
      </c>
      <c r="P40" t="s">
        <v>448</v>
      </c>
      <c r="Q40">
        <v>1</v>
      </c>
      <c r="W40">
        <v>0</v>
      </c>
      <c r="X40">
        <v>2017347174</v>
      </c>
      <c r="Y40">
        <v>27.8185</v>
      </c>
      <c r="AA40">
        <v>0</v>
      </c>
      <c r="AB40">
        <v>0</v>
      </c>
      <c r="AC40">
        <v>0</v>
      </c>
      <c r="AD40">
        <v>6.58</v>
      </c>
      <c r="AE40">
        <v>0</v>
      </c>
      <c r="AF40">
        <v>0</v>
      </c>
      <c r="AG40">
        <v>0</v>
      </c>
      <c r="AH40">
        <v>6.58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24.19</v>
      </c>
      <c r="AU40" t="s">
        <v>12</v>
      </c>
      <c r="AV40">
        <v>1</v>
      </c>
      <c r="AW40">
        <v>2</v>
      </c>
      <c r="AX40">
        <v>50211700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Y40*Source!I117</f>
        <v>39.068301400000003</v>
      </c>
      <c r="CY40">
        <f>AD40</f>
        <v>6.58</v>
      </c>
      <c r="CZ40">
        <f>AH40</f>
        <v>6.58</v>
      </c>
      <c r="DA40">
        <f>AL40</f>
        <v>1</v>
      </c>
      <c r="DB40">
        <f>ROUND((ROUND(AT40*CZ40,2)*1.15),1)</f>
        <v>183</v>
      </c>
      <c r="DC40">
        <f>ROUND((ROUND(AT40*AG40,2)*1.15),1)</f>
        <v>0</v>
      </c>
    </row>
    <row r="41" spans="1:107" x14ac:dyDescent="0.2">
      <c r="A41">
        <f>ROW(Source!A117)</f>
        <v>117</v>
      </c>
      <c r="B41">
        <v>50210945</v>
      </c>
      <c r="C41">
        <v>50211691</v>
      </c>
      <c r="D41">
        <v>121548</v>
      </c>
      <c r="E41">
        <v>1</v>
      </c>
      <c r="F41">
        <v>1</v>
      </c>
      <c r="G41">
        <v>1</v>
      </c>
      <c r="H41">
        <v>1</v>
      </c>
      <c r="I41" t="s">
        <v>25</v>
      </c>
      <c r="J41" t="s">
        <v>3</v>
      </c>
      <c r="K41" t="s">
        <v>463</v>
      </c>
      <c r="L41">
        <v>608254</v>
      </c>
      <c r="N41">
        <v>1013</v>
      </c>
      <c r="O41" t="s">
        <v>464</v>
      </c>
      <c r="P41" t="s">
        <v>464</v>
      </c>
      <c r="Q41">
        <v>1</v>
      </c>
      <c r="W41">
        <v>0</v>
      </c>
      <c r="X41">
        <v>-185737400</v>
      </c>
      <c r="Y41">
        <v>25.75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20.6</v>
      </c>
      <c r="AU41" t="s">
        <v>11</v>
      </c>
      <c r="AV41">
        <v>2</v>
      </c>
      <c r="AW41">
        <v>2</v>
      </c>
      <c r="AX41">
        <v>50211701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Y41*Source!I117</f>
        <v>36.1633</v>
      </c>
      <c r="CY41">
        <f>AD41</f>
        <v>0</v>
      </c>
      <c r="CZ41">
        <f>AH41</f>
        <v>0</v>
      </c>
      <c r="DA41">
        <f>AL41</f>
        <v>1</v>
      </c>
      <c r="DB41">
        <f t="shared" ref="DB41:DB46" si="6">ROUND((ROUND(AT41*CZ41,2)*1.25),1)</f>
        <v>0</v>
      </c>
      <c r="DC41">
        <f t="shared" ref="DC41:DC46" si="7">ROUND((ROUND(AT41*AG41,2)*1.25),1)</f>
        <v>0</v>
      </c>
    </row>
    <row r="42" spans="1:107" x14ac:dyDescent="0.2">
      <c r="A42">
        <f>ROW(Source!A117)</f>
        <v>117</v>
      </c>
      <c r="B42">
        <v>50210945</v>
      </c>
      <c r="C42">
        <v>50211691</v>
      </c>
      <c r="D42">
        <v>45811426</v>
      </c>
      <c r="E42">
        <v>1</v>
      </c>
      <c r="F42">
        <v>1</v>
      </c>
      <c r="G42">
        <v>1</v>
      </c>
      <c r="H42">
        <v>2</v>
      </c>
      <c r="I42" t="s">
        <v>498</v>
      </c>
      <c r="J42" t="s">
        <v>499</v>
      </c>
      <c r="K42" t="s">
        <v>500</v>
      </c>
      <c r="L42">
        <v>45811227</v>
      </c>
      <c r="N42">
        <v>1013</v>
      </c>
      <c r="O42" t="s">
        <v>452</v>
      </c>
      <c r="P42" t="s">
        <v>452</v>
      </c>
      <c r="Q42">
        <v>1</v>
      </c>
      <c r="W42">
        <v>0</v>
      </c>
      <c r="X42">
        <v>-1615317198</v>
      </c>
      <c r="Y42">
        <v>3.0750000000000002</v>
      </c>
      <c r="AA42">
        <v>0</v>
      </c>
      <c r="AB42">
        <v>89.81</v>
      </c>
      <c r="AC42">
        <v>9.8800000000000008</v>
      </c>
      <c r="AD42">
        <v>0</v>
      </c>
      <c r="AE42">
        <v>0</v>
      </c>
      <c r="AF42">
        <v>89.81</v>
      </c>
      <c r="AG42">
        <v>9.8800000000000008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2.46</v>
      </c>
      <c r="AU42" t="s">
        <v>11</v>
      </c>
      <c r="AV42">
        <v>0</v>
      </c>
      <c r="AW42">
        <v>2</v>
      </c>
      <c r="AX42">
        <v>50211702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Y42*Source!I117</f>
        <v>4.3185300000000009</v>
      </c>
      <c r="CY42">
        <f>AB42</f>
        <v>89.81</v>
      </c>
      <c r="CZ42">
        <f>AF42</f>
        <v>89.81</v>
      </c>
      <c r="DA42">
        <f>AJ42</f>
        <v>1</v>
      </c>
      <c r="DB42">
        <f t="shared" si="6"/>
        <v>276.2</v>
      </c>
      <c r="DC42">
        <f t="shared" si="7"/>
        <v>30.4</v>
      </c>
    </row>
    <row r="43" spans="1:107" x14ac:dyDescent="0.2">
      <c r="A43">
        <f>ROW(Source!A117)</f>
        <v>117</v>
      </c>
      <c r="B43">
        <v>50210945</v>
      </c>
      <c r="C43">
        <v>50211691</v>
      </c>
      <c r="D43">
        <v>45811709</v>
      </c>
      <c r="E43">
        <v>1</v>
      </c>
      <c r="F43">
        <v>1</v>
      </c>
      <c r="G43">
        <v>1</v>
      </c>
      <c r="H43">
        <v>2</v>
      </c>
      <c r="I43" t="s">
        <v>468</v>
      </c>
      <c r="J43" t="s">
        <v>469</v>
      </c>
      <c r="K43" t="s">
        <v>470</v>
      </c>
      <c r="L43">
        <v>45811227</v>
      </c>
      <c r="N43">
        <v>1013</v>
      </c>
      <c r="O43" t="s">
        <v>452</v>
      </c>
      <c r="P43" t="s">
        <v>452</v>
      </c>
      <c r="Q43">
        <v>1</v>
      </c>
      <c r="W43">
        <v>0</v>
      </c>
      <c r="X43">
        <v>-1764643830</v>
      </c>
      <c r="Y43">
        <v>3.2374999999999998</v>
      </c>
      <c r="AA43">
        <v>0</v>
      </c>
      <c r="AB43">
        <v>79.75</v>
      </c>
      <c r="AC43">
        <v>13.26</v>
      </c>
      <c r="AD43">
        <v>0</v>
      </c>
      <c r="AE43">
        <v>0</v>
      </c>
      <c r="AF43">
        <v>79.75</v>
      </c>
      <c r="AG43">
        <v>13.26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2.59</v>
      </c>
      <c r="AU43" t="s">
        <v>11</v>
      </c>
      <c r="AV43">
        <v>0</v>
      </c>
      <c r="AW43">
        <v>2</v>
      </c>
      <c r="AX43">
        <v>50211703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Y43*Source!I117</f>
        <v>4.5467450000000005</v>
      </c>
      <c r="CY43">
        <f>AB43</f>
        <v>79.75</v>
      </c>
      <c r="CZ43">
        <f>AF43</f>
        <v>79.75</v>
      </c>
      <c r="DA43">
        <f>AJ43</f>
        <v>1</v>
      </c>
      <c r="DB43">
        <f t="shared" si="6"/>
        <v>258.2</v>
      </c>
      <c r="DC43">
        <f t="shared" si="7"/>
        <v>42.9</v>
      </c>
    </row>
    <row r="44" spans="1:107" x14ac:dyDescent="0.2">
      <c r="A44">
        <f>ROW(Source!A117)</f>
        <v>117</v>
      </c>
      <c r="B44">
        <v>50210945</v>
      </c>
      <c r="C44">
        <v>50211691</v>
      </c>
      <c r="D44">
        <v>45811921</v>
      </c>
      <c r="E44">
        <v>1</v>
      </c>
      <c r="F44">
        <v>1</v>
      </c>
      <c r="G44">
        <v>1</v>
      </c>
      <c r="H44">
        <v>2</v>
      </c>
      <c r="I44" t="s">
        <v>501</v>
      </c>
      <c r="J44" t="s">
        <v>502</v>
      </c>
      <c r="K44" t="s">
        <v>503</v>
      </c>
      <c r="L44">
        <v>45811227</v>
      </c>
      <c r="N44">
        <v>1013</v>
      </c>
      <c r="O44" t="s">
        <v>452</v>
      </c>
      <c r="P44" t="s">
        <v>452</v>
      </c>
      <c r="Q44">
        <v>1</v>
      </c>
      <c r="W44">
        <v>0</v>
      </c>
      <c r="X44">
        <v>-1104063720</v>
      </c>
      <c r="Y44">
        <v>2.875</v>
      </c>
      <c r="AA44">
        <v>0</v>
      </c>
      <c r="AB44">
        <v>122.76</v>
      </c>
      <c r="AC44">
        <v>13.26</v>
      </c>
      <c r="AD44">
        <v>0</v>
      </c>
      <c r="AE44">
        <v>0</v>
      </c>
      <c r="AF44">
        <v>122.76</v>
      </c>
      <c r="AG44">
        <v>13.26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2.2999999999999998</v>
      </c>
      <c r="AU44" t="s">
        <v>11</v>
      </c>
      <c r="AV44">
        <v>0</v>
      </c>
      <c r="AW44">
        <v>2</v>
      </c>
      <c r="AX44">
        <v>50211704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Y44*Source!I117</f>
        <v>4.0376500000000002</v>
      </c>
      <c r="CY44">
        <f>AB44</f>
        <v>122.76</v>
      </c>
      <c r="CZ44">
        <f>AF44</f>
        <v>122.76</v>
      </c>
      <c r="DA44">
        <f>AJ44</f>
        <v>1</v>
      </c>
      <c r="DB44">
        <f t="shared" si="6"/>
        <v>352.9</v>
      </c>
      <c r="DC44">
        <f t="shared" si="7"/>
        <v>38.1</v>
      </c>
    </row>
    <row r="45" spans="1:107" x14ac:dyDescent="0.2">
      <c r="A45">
        <f>ROW(Source!A117)</f>
        <v>117</v>
      </c>
      <c r="B45">
        <v>50210945</v>
      </c>
      <c r="C45">
        <v>50211691</v>
      </c>
      <c r="D45">
        <v>45811951</v>
      </c>
      <c r="E45">
        <v>1</v>
      </c>
      <c r="F45">
        <v>1</v>
      </c>
      <c r="G45">
        <v>1</v>
      </c>
      <c r="H45">
        <v>2</v>
      </c>
      <c r="I45" t="s">
        <v>504</v>
      </c>
      <c r="J45" t="s">
        <v>505</v>
      </c>
      <c r="K45" t="s">
        <v>506</v>
      </c>
      <c r="L45">
        <v>45811227</v>
      </c>
      <c r="N45">
        <v>1013</v>
      </c>
      <c r="O45" t="s">
        <v>452</v>
      </c>
      <c r="P45" t="s">
        <v>452</v>
      </c>
      <c r="Q45">
        <v>1</v>
      </c>
      <c r="W45">
        <v>0</v>
      </c>
      <c r="X45">
        <v>1987113411</v>
      </c>
      <c r="Y45">
        <v>15.262500000000001</v>
      </c>
      <c r="AA45">
        <v>0</v>
      </c>
      <c r="AB45">
        <v>205.75</v>
      </c>
      <c r="AC45">
        <v>14.14</v>
      </c>
      <c r="AD45">
        <v>0</v>
      </c>
      <c r="AE45">
        <v>0</v>
      </c>
      <c r="AF45">
        <v>205.75</v>
      </c>
      <c r="AG45">
        <v>14.14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12.21</v>
      </c>
      <c r="AU45" t="s">
        <v>11</v>
      </c>
      <c r="AV45">
        <v>0</v>
      </c>
      <c r="AW45">
        <v>2</v>
      </c>
      <c r="AX45">
        <v>50211705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Y45*Source!I117</f>
        <v>21.434655000000003</v>
      </c>
      <c r="CY45">
        <f>AB45</f>
        <v>205.75</v>
      </c>
      <c r="CZ45">
        <f>AF45</f>
        <v>205.75</v>
      </c>
      <c r="DA45">
        <f>AJ45</f>
        <v>1</v>
      </c>
      <c r="DB45">
        <f t="shared" si="6"/>
        <v>3140.3</v>
      </c>
      <c r="DC45">
        <f t="shared" si="7"/>
        <v>215.8</v>
      </c>
    </row>
    <row r="46" spans="1:107" x14ac:dyDescent="0.2">
      <c r="A46">
        <f>ROW(Source!A117)</f>
        <v>117</v>
      </c>
      <c r="B46">
        <v>50210945</v>
      </c>
      <c r="C46">
        <v>50211691</v>
      </c>
      <c r="D46">
        <v>45812009</v>
      </c>
      <c r="E46">
        <v>1</v>
      </c>
      <c r="F46">
        <v>1</v>
      </c>
      <c r="G46">
        <v>1</v>
      </c>
      <c r="H46">
        <v>2</v>
      </c>
      <c r="I46" t="s">
        <v>479</v>
      </c>
      <c r="J46" t="s">
        <v>480</v>
      </c>
      <c r="K46" t="s">
        <v>481</v>
      </c>
      <c r="L46">
        <v>45811227</v>
      </c>
      <c r="N46">
        <v>1013</v>
      </c>
      <c r="O46" t="s">
        <v>452</v>
      </c>
      <c r="P46" t="s">
        <v>452</v>
      </c>
      <c r="Q46">
        <v>1</v>
      </c>
      <c r="W46">
        <v>0</v>
      </c>
      <c r="X46">
        <v>-1075265446</v>
      </c>
      <c r="Y46">
        <v>1.3</v>
      </c>
      <c r="AA46">
        <v>0</v>
      </c>
      <c r="AB46">
        <v>110</v>
      </c>
      <c r="AC46">
        <v>11.38</v>
      </c>
      <c r="AD46">
        <v>0</v>
      </c>
      <c r="AE46">
        <v>0</v>
      </c>
      <c r="AF46">
        <v>110</v>
      </c>
      <c r="AG46">
        <v>11.38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1.04</v>
      </c>
      <c r="AU46" t="s">
        <v>11</v>
      </c>
      <c r="AV46">
        <v>0</v>
      </c>
      <c r="AW46">
        <v>2</v>
      </c>
      <c r="AX46">
        <v>50211706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Y46*Source!I117</f>
        <v>1.8257200000000002</v>
      </c>
      <c r="CY46">
        <f>AB46</f>
        <v>110</v>
      </c>
      <c r="CZ46">
        <f>AF46</f>
        <v>110</v>
      </c>
      <c r="DA46">
        <f>AJ46</f>
        <v>1</v>
      </c>
      <c r="DB46">
        <f t="shared" si="6"/>
        <v>143</v>
      </c>
      <c r="DC46">
        <f t="shared" si="7"/>
        <v>14.8</v>
      </c>
    </row>
    <row r="47" spans="1:107" x14ac:dyDescent="0.2">
      <c r="A47">
        <f>ROW(Source!A117)</f>
        <v>117</v>
      </c>
      <c r="B47">
        <v>50210945</v>
      </c>
      <c r="C47">
        <v>50211691</v>
      </c>
      <c r="D47">
        <v>45865353</v>
      </c>
      <c r="E47">
        <v>1</v>
      </c>
      <c r="F47">
        <v>1</v>
      </c>
      <c r="G47">
        <v>1</v>
      </c>
      <c r="H47">
        <v>3</v>
      </c>
      <c r="I47" t="s">
        <v>488</v>
      </c>
      <c r="J47" t="s">
        <v>489</v>
      </c>
      <c r="K47" t="s">
        <v>490</v>
      </c>
      <c r="L47">
        <v>1339</v>
      </c>
      <c r="N47">
        <v>1007</v>
      </c>
      <c r="O47" t="s">
        <v>153</v>
      </c>
      <c r="P47" t="s">
        <v>153</v>
      </c>
      <c r="Q47">
        <v>1</v>
      </c>
      <c r="W47">
        <v>0</v>
      </c>
      <c r="X47">
        <v>-1025641989</v>
      </c>
      <c r="Y47">
        <v>7</v>
      </c>
      <c r="AA47">
        <v>2.2599999999999998</v>
      </c>
      <c r="AB47">
        <v>0</v>
      </c>
      <c r="AC47">
        <v>0</v>
      </c>
      <c r="AD47">
        <v>0</v>
      </c>
      <c r="AE47">
        <v>2.2599999999999998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7</v>
      </c>
      <c r="AU47" t="s">
        <v>3</v>
      </c>
      <c r="AV47">
        <v>0</v>
      </c>
      <c r="AW47">
        <v>2</v>
      </c>
      <c r="AX47">
        <v>50211708</v>
      </c>
      <c r="AY47">
        <v>1</v>
      </c>
      <c r="AZ47">
        <v>0</v>
      </c>
      <c r="BA47">
        <v>48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Y47*Source!I117</f>
        <v>9.8308</v>
      </c>
      <c r="CY47">
        <f>AA47</f>
        <v>2.2599999999999998</v>
      </c>
      <c r="CZ47">
        <f>AE47</f>
        <v>2.2599999999999998</v>
      </c>
      <c r="DA47">
        <f>AI47</f>
        <v>1</v>
      </c>
      <c r="DB47">
        <f>ROUND(ROUND(AT47*CZ47,2),1)</f>
        <v>15.8</v>
      </c>
      <c r="DC47">
        <f>ROUND(ROUND(AT47*AG47,2),1)</f>
        <v>0</v>
      </c>
    </row>
    <row r="48" spans="1:107" x14ac:dyDescent="0.2">
      <c r="A48">
        <f>ROW(Source!A118)</f>
        <v>118</v>
      </c>
      <c r="B48">
        <v>50210945</v>
      </c>
      <c r="C48">
        <v>50211709</v>
      </c>
      <c r="D48">
        <v>121548</v>
      </c>
      <c r="E48">
        <v>1</v>
      </c>
      <c r="F48">
        <v>1</v>
      </c>
      <c r="G48">
        <v>1</v>
      </c>
      <c r="H48">
        <v>1</v>
      </c>
      <c r="I48" t="s">
        <v>25</v>
      </c>
      <c r="J48" t="s">
        <v>3</v>
      </c>
      <c r="K48" t="s">
        <v>463</v>
      </c>
      <c r="L48">
        <v>608254</v>
      </c>
      <c r="N48">
        <v>1013</v>
      </c>
      <c r="O48" t="s">
        <v>464</v>
      </c>
      <c r="P48" t="s">
        <v>464</v>
      </c>
      <c r="Q48">
        <v>1</v>
      </c>
      <c r="W48">
        <v>0</v>
      </c>
      <c r="X48">
        <v>-185737400</v>
      </c>
      <c r="Y48">
        <v>0.82500000000000007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0.66</v>
      </c>
      <c r="AU48" t="s">
        <v>11</v>
      </c>
      <c r="AV48">
        <v>2</v>
      </c>
      <c r="AW48">
        <v>2</v>
      </c>
      <c r="AX48">
        <v>50211713</v>
      </c>
      <c r="AY48">
        <v>1</v>
      </c>
      <c r="AZ48">
        <v>0</v>
      </c>
      <c r="BA48">
        <v>49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Y48*Source!I118</f>
        <v>1.1885775000000001</v>
      </c>
      <c r="CY48">
        <f>AD48</f>
        <v>0</v>
      </c>
      <c r="CZ48">
        <f>AH48</f>
        <v>0</v>
      </c>
      <c r="DA48">
        <f>AL48</f>
        <v>1</v>
      </c>
      <c r="DB48">
        <f>ROUND((ROUND(AT48*CZ48,2)*1.25),1)</f>
        <v>0</v>
      </c>
      <c r="DC48">
        <f>ROUND((ROUND(AT48*AG48,2)*1.25),1)</f>
        <v>0</v>
      </c>
    </row>
    <row r="49" spans="1:107" x14ac:dyDescent="0.2">
      <c r="A49">
        <f>ROW(Source!A118)</f>
        <v>118</v>
      </c>
      <c r="B49">
        <v>50210945</v>
      </c>
      <c r="C49">
        <v>50211709</v>
      </c>
      <c r="D49">
        <v>45811915</v>
      </c>
      <c r="E49">
        <v>1</v>
      </c>
      <c r="F49">
        <v>1</v>
      </c>
      <c r="G49">
        <v>1</v>
      </c>
      <c r="H49">
        <v>2</v>
      </c>
      <c r="I49" t="s">
        <v>509</v>
      </c>
      <c r="J49" t="s">
        <v>510</v>
      </c>
      <c r="K49" t="s">
        <v>511</v>
      </c>
      <c r="L49">
        <v>45811227</v>
      </c>
      <c r="N49">
        <v>1013</v>
      </c>
      <c r="O49" t="s">
        <v>452</v>
      </c>
      <c r="P49" t="s">
        <v>452</v>
      </c>
      <c r="Q49">
        <v>1</v>
      </c>
      <c r="W49">
        <v>0</v>
      </c>
      <c r="X49">
        <v>652214062</v>
      </c>
      <c r="Y49">
        <v>0.41250000000000003</v>
      </c>
      <c r="AA49">
        <v>0</v>
      </c>
      <c r="AB49">
        <v>119.57</v>
      </c>
      <c r="AC49">
        <v>21.26</v>
      </c>
      <c r="AD49">
        <v>0</v>
      </c>
      <c r="AE49">
        <v>0</v>
      </c>
      <c r="AF49">
        <v>119.57</v>
      </c>
      <c r="AG49">
        <v>21.26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0.33</v>
      </c>
      <c r="AU49" t="s">
        <v>11</v>
      </c>
      <c r="AV49">
        <v>0</v>
      </c>
      <c r="AW49">
        <v>2</v>
      </c>
      <c r="AX49">
        <v>50211714</v>
      </c>
      <c r="AY49">
        <v>1</v>
      </c>
      <c r="AZ49">
        <v>0</v>
      </c>
      <c r="BA49">
        <v>50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Y49*Source!I118</f>
        <v>0.59428875000000003</v>
      </c>
      <c r="CY49">
        <f>AB49</f>
        <v>119.57</v>
      </c>
      <c r="CZ49">
        <f>AF49</f>
        <v>119.57</v>
      </c>
      <c r="DA49">
        <f>AJ49</f>
        <v>1</v>
      </c>
      <c r="DB49">
        <f>ROUND((ROUND(AT49*CZ49,2)*1.25),1)</f>
        <v>49.3</v>
      </c>
      <c r="DC49">
        <f>ROUND((ROUND(AT49*AG49,2)*1.25),1)</f>
        <v>8.8000000000000007</v>
      </c>
    </row>
    <row r="50" spans="1:107" x14ac:dyDescent="0.2">
      <c r="A50">
        <f>ROW(Source!A118)</f>
        <v>118</v>
      </c>
      <c r="B50">
        <v>50210945</v>
      </c>
      <c r="C50">
        <v>50211709</v>
      </c>
      <c r="D50">
        <v>45816049</v>
      </c>
      <c r="E50">
        <v>1</v>
      </c>
      <c r="F50">
        <v>1</v>
      </c>
      <c r="G50">
        <v>1</v>
      </c>
      <c r="H50">
        <v>3</v>
      </c>
      <c r="I50" t="s">
        <v>512</v>
      </c>
      <c r="J50" t="s">
        <v>513</v>
      </c>
      <c r="K50" t="s">
        <v>514</v>
      </c>
      <c r="L50">
        <v>1348</v>
      </c>
      <c r="N50">
        <v>1009</v>
      </c>
      <c r="O50" t="s">
        <v>190</v>
      </c>
      <c r="P50" t="s">
        <v>190</v>
      </c>
      <c r="Q50">
        <v>1000</v>
      </c>
      <c r="W50">
        <v>0</v>
      </c>
      <c r="X50">
        <v>-1734730509</v>
      </c>
      <c r="Y50">
        <v>1.03</v>
      </c>
      <c r="AA50">
        <v>1424.35</v>
      </c>
      <c r="AB50">
        <v>0</v>
      </c>
      <c r="AC50">
        <v>0</v>
      </c>
      <c r="AD50">
        <v>0</v>
      </c>
      <c r="AE50">
        <v>1424.35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1.03</v>
      </c>
      <c r="AU50" t="s">
        <v>3</v>
      </c>
      <c r="AV50">
        <v>0</v>
      </c>
      <c r="AW50">
        <v>2</v>
      </c>
      <c r="AX50">
        <v>50211715</v>
      </c>
      <c r="AY50">
        <v>1</v>
      </c>
      <c r="AZ50">
        <v>0</v>
      </c>
      <c r="BA50">
        <v>51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Y50*Source!I118</f>
        <v>1.483921</v>
      </c>
      <c r="CY50">
        <f>AA50</f>
        <v>1424.35</v>
      </c>
      <c r="CZ50">
        <f>AE50</f>
        <v>1424.35</v>
      </c>
      <c r="DA50">
        <f>AI50</f>
        <v>1</v>
      </c>
      <c r="DB50">
        <f>ROUND(ROUND(AT50*CZ50,2),1)</f>
        <v>1467.1</v>
      </c>
      <c r="DC50">
        <f>ROUND(ROUND(AT50*AG50,2),1)</f>
        <v>0</v>
      </c>
    </row>
    <row r="51" spans="1:107" x14ac:dyDescent="0.2">
      <c r="A51">
        <f>ROW(Source!A119)</f>
        <v>119</v>
      </c>
      <c r="B51">
        <v>50210945</v>
      </c>
      <c r="C51">
        <v>50211716</v>
      </c>
      <c r="D51">
        <v>45967552</v>
      </c>
      <c r="E51">
        <v>1</v>
      </c>
      <c r="F51">
        <v>1</v>
      </c>
      <c r="G51">
        <v>1</v>
      </c>
      <c r="H51">
        <v>1</v>
      </c>
      <c r="I51" t="s">
        <v>515</v>
      </c>
      <c r="J51" t="s">
        <v>3</v>
      </c>
      <c r="K51" t="s">
        <v>516</v>
      </c>
      <c r="L51">
        <v>1476</v>
      </c>
      <c r="N51">
        <v>1013</v>
      </c>
      <c r="O51" t="s">
        <v>447</v>
      </c>
      <c r="P51" t="s">
        <v>448</v>
      </c>
      <c r="Q51">
        <v>1</v>
      </c>
      <c r="W51">
        <v>0</v>
      </c>
      <c r="X51">
        <v>-980287603</v>
      </c>
      <c r="Y51">
        <v>44.044999999999995</v>
      </c>
      <c r="AA51">
        <v>0</v>
      </c>
      <c r="AB51">
        <v>0</v>
      </c>
      <c r="AC51">
        <v>0</v>
      </c>
      <c r="AD51">
        <v>7.83</v>
      </c>
      <c r="AE51">
        <v>0</v>
      </c>
      <c r="AF51">
        <v>0</v>
      </c>
      <c r="AG51">
        <v>0</v>
      </c>
      <c r="AH51">
        <v>7.83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38.299999999999997</v>
      </c>
      <c r="AU51" t="s">
        <v>12</v>
      </c>
      <c r="AV51">
        <v>1</v>
      </c>
      <c r="AW51">
        <v>2</v>
      </c>
      <c r="AX51">
        <v>50211731</v>
      </c>
      <c r="AY51">
        <v>1</v>
      </c>
      <c r="AZ51">
        <v>0</v>
      </c>
      <c r="BA51">
        <v>52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Y51*Source!I119</f>
        <v>126.90685849999998</v>
      </c>
      <c r="CY51">
        <f>AD51</f>
        <v>7.83</v>
      </c>
      <c r="CZ51">
        <f>AH51</f>
        <v>7.83</v>
      </c>
      <c r="DA51">
        <f>AL51</f>
        <v>1</v>
      </c>
      <c r="DB51">
        <f>ROUND((ROUND(AT51*CZ51,2)*1.15),1)</f>
        <v>344.9</v>
      </c>
      <c r="DC51">
        <f>ROUND((ROUND(AT51*AG51,2)*1.15),1)</f>
        <v>0</v>
      </c>
    </row>
    <row r="52" spans="1:107" x14ac:dyDescent="0.2">
      <c r="A52">
        <f>ROW(Source!A119)</f>
        <v>119</v>
      </c>
      <c r="B52">
        <v>50210945</v>
      </c>
      <c r="C52">
        <v>50211716</v>
      </c>
      <c r="D52">
        <v>121548</v>
      </c>
      <c r="E52">
        <v>1</v>
      </c>
      <c r="F52">
        <v>1</v>
      </c>
      <c r="G52">
        <v>1</v>
      </c>
      <c r="H52">
        <v>1</v>
      </c>
      <c r="I52" t="s">
        <v>25</v>
      </c>
      <c r="J52" t="s">
        <v>3</v>
      </c>
      <c r="K52" t="s">
        <v>463</v>
      </c>
      <c r="L52">
        <v>608254</v>
      </c>
      <c r="N52">
        <v>1013</v>
      </c>
      <c r="O52" t="s">
        <v>464</v>
      </c>
      <c r="P52" t="s">
        <v>464</v>
      </c>
      <c r="Q52">
        <v>1</v>
      </c>
      <c r="W52">
        <v>0</v>
      </c>
      <c r="X52">
        <v>-185737400</v>
      </c>
      <c r="Y52">
        <v>23.875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19.100000000000001</v>
      </c>
      <c r="AU52" t="s">
        <v>11</v>
      </c>
      <c r="AV52">
        <v>2</v>
      </c>
      <c r="AW52">
        <v>2</v>
      </c>
      <c r="AX52">
        <v>50211732</v>
      </c>
      <c r="AY52">
        <v>1</v>
      </c>
      <c r="AZ52">
        <v>0</v>
      </c>
      <c r="BA52">
        <v>53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Y52*Source!I119</f>
        <v>68.791037500000002</v>
      </c>
      <c r="CY52">
        <f>AD52</f>
        <v>0</v>
      </c>
      <c r="CZ52">
        <f>AH52</f>
        <v>0</v>
      </c>
      <c r="DA52">
        <f>AL52</f>
        <v>1</v>
      </c>
      <c r="DB52">
        <f t="shared" ref="DB52:DB59" si="8">ROUND((ROUND(AT52*CZ52,2)*1.25),1)</f>
        <v>0</v>
      </c>
      <c r="DC52">
        <f t="shared" ref="DC52:DC59" si="9">ROUND((ROUND(AT52*AG52,2)*1.25),1)</f>
        <v>0</v>
      </c>
    </row>
    <row r="53" spans="1:107" x14ac:dyDescent="0.2">
      <c r="A53">
        <f>ROW(Source!A119)</f>
        <v>119</v>
      </c>
      <c r="B53">
        <v>50210945</v>
      </c>
      <c r="C53">
        <v>50211716</v>
      </c>
      <c r="D53">
        <v>45811353</v>
      </c>
      <c r="E53">
        <v>1</v>
      </c>
      <c r="F53">
        <v>1</v>
      </c>
      <c r="G53">
        <v>1</v>
      </c>
      <c r="H53">
        <v>2</v>
      </c>
      <c r="I53" t="s">
        <v>517</v>
      </c>
      <c r="J53" t="s">
        <v>518</v>
      </c>
      <c r="K53" t="s">
        <v>519</v>
      </c>
      <c r="L53">
        <v>45811227</v>
      </c>
      <c r="N53">
        <v>1013</v>
      </c>
      <c r="O53" t="s">
        <v>452</v>
      </c>
      <c r="P53" t="s">
        <v>452</v>
      </c>
      <c r="Q53">
        <v>1</v>
      </c>
      <c r="W53">
        <v>0</v>
      </c>
      <c r="X53">
        <v>642700064</v>
      </c>
      <c r="Y53">
        <v>6.25E-2</v>
      </c>
      <c r="AA53">
        <v>0</v>
      </c>
      <c r="AB53">
        <v>111.75</v>
      </c>
      <c r="AC53">
        <v>13.26</v>
      </c>
      <c r="AD53">
        <v>0</v>
      </c>
      <c r="AE53">
        <v>0</v>
      </c>
      <c r="AF53">
        <v>111.75</v>
      </c>
      <c r="AG53">
        <v>13.26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0.05</v>
      </c>
      <c r="AU53" t="s">
        <v>11</v>
      </c>
      <c r="AV53">
        <v>0</v>
      </c>
      <c r="AW53">
        <v>2</v>
      </c>
      <c r="AX53">
        <v>50211733</v>
      </c>
      <c r="AY53">
        <v>1</v>
      </c>
      <c r="AZ53">
        <v>0</v>
      </c>
      <c r="BA53">
        <v>54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Y53*Source!I119</f>
        <v>0.18008125</v>
      </c>
      <c r="CY53">
        <f t="shared" ref="CY53:CY59" si="10">AB53</f>
        <v>111.75</v>
      </c>
      <c r="CZ53">
        <f t="shared" ref="CZ53:CZ59" si="11">AF53</f>
        <v>111.75</v>
      </c>
      <c r="DA53">
        <f t="shared" ref="DA53:DA59" si="12">AJ53</f>
        <v>1</v>
      </c>
      <c r="DB53">
        <f t="shared" si="8"/>
        <v>7</v>
      </c>
      <c r="DC53">
        <f t="shared" si="9"/>
        <v>0.8</v>
      </c>
    </row>
    <row r="54" spans="1:107" x14ac:dyDescent="0.2">
      <c r="A54">
        <f>ROW(Source!A119)</f>
        <v>119</v>
      </c>
      <c r="B54">
        <v>50210945</v>
      </c>
      <c r="C54">
        <v>50211716</v>
      </c>
      <c r="D54">
        <v>45811928</v>
      </c>
      <c r="E54">
        <v>1</v>
      </c>
      <c r="F54">
        <v>1</v>
      </c>
      <c r="G54">
        <v>1</v>
      </c>
      <c r="H54">
        <v>2</v>
      </c>
      <c r="I54" t="s">
        <v>520</v>
      </c>
      <c r="J54" t="s">
        <v>521</v>
      </c>
      <c r="K54" t="s">
        <v>522</v>
      </c>
      <c r="L54">
        <v>45811227</v>
      </c>
      <c r="N54">
        <v>1013</v>
      </c>
      <c r="O54" t="s">
        <v>452</v>
      </c>
      <c r="P54" t="s">
        <v>452</v>
      </c>
      <c r="Q54">
        <v>1</v>
      </c>
      <c r="W54">
        <v>0</v>
      </c>
      <c r="X54">
        <v>1330007188</v>
      </c>
      <c r="Y54">
        <v>1.75</v>
      </c>
      <c r="AA54">
        <v>0</v>
      </c>
      <c r="AB54">
        <v>17.2</v>
      </c>
      <c r="AC54">
        <v>0</v>
      </c>
      <c r="AD54">
        <v>0</v>
      </c>
      <c r="AE54">
        <v>0</v>
      </c>
      <c r="AF54">
        <v>17.2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1.4</v>
      </c>
      <c r="AU54" t="s">
        <v>11</v>
      </c>
      <c r="AV54">
        <v>0</v>
      </c>
      <c r="AW54">
        <v>2</v>
      </c>
      <c r="AX54">
        <v>50211734</v>
      </c>
      <c r="AY54">
        <v>1</v>
      </c>
      <c r="AZ54">
        <v>0</v>
      </c>
      <c r="BA54">
        <v>55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Y54*Source!I119</f>
        <v>5.0422750000000001</v>
      </c>
      <c r="CY54">
        <f t="shared" si="10"/>
        <v>17.2</v>
      </c>
      <c r="CZ54">
        <f t="shared" si="11"/>
        <v>17.2</v>
      </c>
      <c r="DA54">
        <f t="shared" si="12"/>
        <v>1</v>
      </c>
      <c r="DB54">
        <f t="shared" si="8"/>
        <v>30.1</v>
      </c>
      <c r="DC54">
        <f t="shared" si="9"/>
        <v>0</v>
      </c>
    </row>
    <row r="55" spans="1:107" x14ac:dyDescent="0.2">
      <c r="A55">
        <f>ROW(Source!A119)</f>
        <v>119</v>
      </c>
      <c r="B55">
        <v>50210945</v>
      </c>
      <c r="C55">
        <v>50211716</v>
      </c>
      <c r="D55">
        <v>45811946</v>
      </c>
      <c r="E55">
        <v>1</v>
      </c>
      <c r="F55">
        <v>1</v>
      </c>
      <c r="G55">
        <v>1</v>
      </c>
      <c r="H55">
        <v>2</v>
      </c>
      <c r="I55" t="s">
        <v>523</v>
      </c>
      <c r="J55" t="s">
        <v>524</v>
      </c>
      <c r="K55" t="s">
        <v>525</v>
      </c>
      <c r="L55">
        <v>45811227</v>
      </c>
      <c r="N55">
        <v>1013</v>
      </c>
      <c r="O55" t="s">
        <v>452</v>
      </c>
      <c r="P55" t="s">
        <v>452</v>
      </c>
      <c r="Q55">
        <v>1</v>
      </c>
      <c r="W55">
        <v>0</v>
      </c>
      <c r="X55">
        <v>-1691718834</v>
      </c>
      <c r="Y55">
        <v>4.95</v>
      </c>
      <c r="AA55">
        <v>0</v>
      </c>
      <c r="AB55">
        <v>74.78</v>
      </c>
      <c r="AC55">
        <v>11.38</v>
      </c>
      <c r="AD55">
        <v>0</v>
      </c>
      <c r="AE55">
        <v>0</v>
      </c>
      <c r="AF55">
        <v>74.78</v>
      </c>
      <c r="AG55">
        <v>11.38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3.96</v>
      </c>
      <c r="AU55" t="s">
        <v>11</v>
      </c>
      <c r="AV55">
        <v>0</v>
      </c>
      <c r="AW55">
        <v>2</v>
      </c>
      <c r="AX55">
        <v>50211735</v>
      </c>
      <c r="AY55">
        <v>1</v>
      </c>
      <c r="AZ55">
        <v>0</v>
      </c>
      <c r="BA55">
        <v>56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Y55*Source!I119</f>
        <v>14.262435</v>
      </c>
      <c r="CY55">
        <f t="shared" si="10"/>
        <v>74.78</v>
      </c>
      <c r="CZ55">
        <f t="shared" si="11"/>
        <v>74.78</v>
      </c>
      <c r="DA55">
        <f t="shared" si="12"/>
        <v>1</v>
      </c>
      <c r="DB55">
        <f t="shared" si="8"/>
        <v>370.2</v>
      </c>
      <c r="DC55">
        <f t="shared" si="9"/>
        <v>56.3</v>
      </c>
    </row>
    <row r="56" spans="1:107" x14ac:dyDescent="0.2">
      <c r="A56">
        <f>ROW(Source!A119)</f>
        <v>119</v>
      </c>
      <c r="B56">
        <v>50210945</v>
      </c>
      <c r="C56">
        <v>50211716</v>
      </c>
      <c r="D56">
        <v>45811947</v>
      </c>
      <c r="E56">
        <v>1</v>
      </c>
      <c r="F56">
        <v>1</v>
      </c>
      <c r="G56">
        <v>1</v>
      </c>
      <c r="H56">
        <v>2</v>
      </c>
      <c r="I56" t="s">
        <v>526</v>
      </c>
      <c r="J56" t="s">
        <v>527</v>
      </c>
      <c r="K56" t="s">
        <v>528</v>
      </c>
      <c r="L56">
        <v>45811227</v>
      </c>
      <c r="N56">
        <v>1013</v>
      </c>
      <c r="O56" t="s">
        <v>452</v>
      </c>
      <c r="P56" t="s">
        <v>452</v>
      </c>
      <c r="Q56">
        <v>1</v>
      </c>
      <c r="W56">
        <v>0</v>
      </c>
      <c r="X56">
        <v>651192462</v>
      </c>
      <c r="Y56">
        <v>14.387499999999999</v>
      </c>
      <c r="AA56">
        <v>0</v>
      </c>
      <c r="AB56">
        <v>120.74</v>
      </c>
      <c r="AC56">
        <v>14.14</v>
      </c>
      <c r="AD56">
        <v>0</v>
      </c>
      <c r="AE56">
        <v>0</v>
      </c>
      <c r="AF56">
        <v>120.74</v>
      </c>
      <c r="AG56">
        <v>14.14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11.51</v>
      </c>
      <c r="AU56" t="s">
        <v>11</v>
      </c>
      <c r="AV56">
        <v>0</v>
      </c>
      <c r="AW56">
        <v>2</v>
      </c>
      <c r="AX56">
        <v>50211736</v>
      </c>
      <c r="AY56">
        <v>1</v>
      </c>
      <c r="AZ56">
        <v>0</v>
      </c>
      <c r="BA56">
        <v>57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Y56*Source!I119</f>
        <v>41.45470375</v>
      </c>
      <c r="CY56">
        <f t="shared" si="10"/>
        <v>120.74</v>
      </c>
      <c r="CZ56">
        <f t="shared" si="11"/>
        <v>120.74</v>
      </c>
      <c r="DA56">
        <f t="shared" si="12"/>
        <v>1</v>
      </c>
      <c r="DB56">
        <f t="shared" si="8"/>
        <v>1737.2</v>
      </c>
      <c r="DC56">
        <f t="shared" si="9"/>
        <v>203.4</v>
      </c>
    </row>
    <row r="57" spans="1:107" x14ac:dyDescent="0.2">
      <c r="A57">
        <f>ROW(Source!A119)</f>
        <v>119</v>
      </c>
      <c r="B57">
        <v>50210945</v>
      </c>
      <c r="C57">
        <v>50211716</v>
      </c>
      <c r="D57">
        <v>45812009</v>
      </c>
      <c r="E57">
        <v>1</v>
      </c>
      <c r="F57">
        <v>1</v>
      </c>
      <c r="G57">
        <v>1</v>
      </c>
      <c r="H57">
        <v>2</v>
      </c>
      <c r="I57" t="s">
        <v>479</v>
      </c>
      <c r="J57" t="s">
        <v>480</v>
      </c>
      <c r="K57" t="s">
        <v>481</v>
      </c>
      <c r="L57">
        <v>45811227</v>
      </c>
      <c r="N57">
        <v>1013</v>
      </c>
      <c r="O57" t="s">
        <v>452</v>
      </c>
      <c r="P57" t="s">
        <v>452</v>
      </c>
      <c r="Q57">
        <v>1</v>
      </c>
      <c r="W57">
        <v>0</v>
      </c>
      <c r="X57">
        <v>-1075265446</v>
      </c>
      <c r="Y57">
        <v>0.48750000000000004</v>
      </c>
      <c r="AA57">
        <v>0</v>
      </c>
      <c r="AB57">
        <v>110</v>
      </c>
      <c r="AC57">
        <v>11.38</v>
      </c>
      <c r="AD57">
        <v>0</v>
      </c>
      <c r="AE57">
        <v>0</v>
      </c>
      <c r="AF57">
        <v>110</v>
      </c>
      <c r="AG57">
        <v>11.38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0.39</v>
      </c>
      <c r="AU57" t="s">
        <v>11</v>
      </c>
      <c r="AV57">
        <v>0</v>
      </c>
      <c r="AW57">
        <v>2</v>
      </c>
      <c r="AX57">
        <v>50211737</v>
      </c>
      <c r="AY57">
        <v>1</v>
      </c>
      <c r="AZ57">
        <v>0</v>
      </c>
      <c r="BA57">
        <v>58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Y57*Source!I119</f>
        <v>1.4046337500000001</v>
      </c>
      <c r="CY57">
        <f t="shared" si="10"/>
        <v>110</v>
      </c>
      <c r="CZ57">
        <f t="shared" si="11"/>
        <v>110</v>
      </c>
      <c r="DA57">
        <f t="shared" si="12"/>
        <v>1</v>
      </c>
      <c r="DB57">
        <f t="shared" si="8"/>
        <v>53.6</v>
      </c>
      <c r="DC57">
        <f t="shared" si="9"/>
        <v>5.6</v>
      </c>
    </row>
    <row r="58" spans="1:107" x14ac:dyDescent="0.2">
      <c r="A58">
        <f>ROW(Source!A119)</f>
        <v>119</v>
      </c>
      <c r="B58">
        <v>50210945</v>
      </c>
      <c r="C58">
        <v>50211716</v>
      </c>
      <c r="D58">
        <v>45812032</v>
      </c>
      <c r="E58">
        <v>1</v>
      </c>
      <c r="F58">
        <v>1</v>
      </c>
      <c r="G58">
        <v>1</v>
      </c>
      <c r="H58">
        <v>2</v>
      </c>
      <c r="I58" t="s">
        <v>529</v>
      </c>
      <c r="J58" t="s">
        <v>530</v>
      </c>
      <c r="K58" t="s">
        <v>531</v>
      </c>
      <c r="L58">
        <v>45811227</v>
      </c>
      <c r="N58">
        <v>1013</v>
      </c>
      <c r="O58" t="s">
        <v>452</v>
      </c>
      <c r="P58" t="s">
        <v>452</v>
      </c>
      <c r="Q58">
        <v>1</v>
      </c>
      <c r="W58">
        <v>0</v>
      </c>
      <c r="X58">
        <v>1837553258</v>
      </c>
      <c r="Y58">
        <v>3.9874999999999998</v>
      </c>
      <c r="AA58">
        <v>0</v>
      </c>
      <c r="AB58">
        <v>194.94</v>
      </c>
      <c r="AC58">
        <v>14.14</v>
      </c>
      <c r="AD58">
        <v>0</v>
      </c>
      <c r="AE58">
        <v>0</v>
      </c>
      <c r="AF58">
        <v>194.94</v>
      </c>
      <c r="AG58">
        <v>14.14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3.19</v>
      </c>
      <c r="AU58" t="s">
        <v>11</v>
      </c>
      <c r="AV58">
        <v>0</v>
      </c>
      <c r="AW58">
        <v>2</v>
      </c>
      <c r="AX58">
        <v>50211738</v>
      </c>
      <c r="AY58">
        <v>1</v>
      </c>
      <c r="AZ58">
        <v>0</v>
      </c>
      <c r="BA58">
        <v>59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Y58*Source!I119</f>
        <v>11.489183749999999</v>
      </c>
      <c r="CY58">
        <f t="shared" si="10"/>
        <v>194.94</v>
      </c>
      <c r="CZ58">
        <f t="shared" si="11"/>
        <v>194.94</v>
      </c>
      <c r="DA58">
        <f t="shared" si="12"/>
        <v>1</v>
      </c>
      <c r="DB58">
        <f t="shared" si="8"/>
        <v>777.3</v>
      </c>
      <c r="DC58">
        <f t="shared" si="9"/>
        <v>56.4</v>
      </c>
    </row>
    <row r="59" spans="1:107" x14ac:dyDescent="0.2">
      <c r="A59">
        <f>ROW(Source!A119)</f>
        <v>119</v>
      </c>
      <c r="B59">
        <v>50210945</v>
      </c>
      <c r="C59">
        <v>50211716</v>
      </c>
      <c r="D59">
        <v>45813321</v>
      </c>
      <c r="E59">
        <v>1</v>
      </c>
      <c r="F59">
        <v>1</v>
      </c>
      <c r="G59">
        <v>1</v>
      </c>
      <c r="H59">
        <v>2</v>
      </c>
      <c r="I59" t="s">
        <v>532</v>
      </c>
      <c r="J59" t="s">
        <v>533</v>
      </c>
      <c r="K59" t="s">
        <v>534</v>
      </c>
      <c r="L59">
        <v>45811227</v>
      </c>
      <c r="N59">
        <v>1013</v>
      </c>
      <c r="O59" t="s">
        <v>452</v>
      </c>
      <c r="P59" t="s">
        <v>452</v>
      </c>
      <c r="Q59">
        <v>1</v>
      </c>
      <c r="W59">
        <v>0</v>
      </c>
      <c r="X59">
        <v>771999048</v>
      </c>
      <c r="Y59">
        <v>0.1</v>
      </c>
      <c r="AA59">
        <v>0</v>
      </c>
      <c r="AB59">
        <v>86.55</v>
      </c>
      <c r="AC59">
        <v>0</v>
      </c>
      <c r="AD59">
        <v>0</v>
      </c>
      <c r="AE59">
        <v>0</v>
      </c>
      <c r="AF59">
        <v>86.55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0.08</v>
      </c>
      <c r="AU59" t="s">
        <v>11</v>
      </c>
      <c r="AV59">
        <v>0</v>
      </c>
      <c r="AW59">
        <v>2</v>
      </c>
      <c r="AX59">
        <v>50211739</v>
      </c>
      <c r="AY59">
        <v>1</v>
      </c>
      <c r="AZ59">
        <v>0</v>
      </c>
      <c r="BA59">
        <v>60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Y59*Source!I119</f>
        <v>0.28813</v>
      </c>
      <c r="CY59">
        <f t="shared" si="10"/>
        <v>86.55</v>
      </c>
      <c r="CZ59">
        <f t="shared" si="11"/>
        <v>86.55</v>
      </c>
      <c r="DA59">
        <f t="shared" si="12"/>
        <v>1</v>
      </c>
      <c r="DB59">
        <f t="shared" si="8"/>
        <v>8.6999999999999993</v>
      </c>
      <c r="DC59">
        <f t="shared" si="9"/>
        <v>0</v>
      </c>
    </row>
    <row r="60" spans="1:107" x14ac:dyDescent="0.2">
      <c r="A60">
        <f>ROW(Source!A119)</f>
        <v>119</v>
      </c>
      <c r="B60">
        <v>50210945</v>
      </c>
      <c r="C60">
        <v>50211716</v>
      </c>
      <c r="D60">
        <v>45814627</v>
      </c>
      <c r="E60">
        <v>1</v>
      </c>
      <c r="F60">
        <v>1</v>
      </c>
      <c r="G60">
        <v>1</v>
      </c>
      <c r="H60">
        <v>3</v>
      </c>
      <c r="I60" t="s">
        <v>535</v>
      </c>
      <c r="J60" t="s">
        <v>536</v>
      </c>
      <c r="K60" t="s">
        <v>537</v>
      </c>
      <c r="L60">
        <v>1348</v>
      </c>
      <c r="N60">
        <v>1009</v>
      </c>
      <c r="O60" t="s">
        <v>190</v>
      </c>
      <c r="P60" t="s">
        <v>190</v>
      </c>
      <c r="Q60">
        <v>1000</v>
      </c>
      <c r="W60">
        <v>0</v>
      </c>
      <c r="X60">
        <v>2008156472</v>
      </c>
      <c r="Y60">
        <v>2.7799999999999999E-3</v>
      </c>
      <c r="AA60">
        <v>2407.44</v>
      </c>
      <c r="AB60">
        <v>0</v>
      </c>
      <c r="AC60">
        <v>0</v>
      </c>
      <c r="AD60">
        <v>0</v>
      </c>
      <c r="AE60">
        <v>2407.44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2.7799999999999999E-3</v>
      </c>
      <c r="AU60" t="s">
        <v>3</v>
      </c>
      <c r="AV60">
        <v>0</v>
      </c>
      <c r="AW60">
        <v>2</v>
      </c>
      <c r="AX60">
        <v>50211740</v>
      </c>
      <c r="AY60">
        <v>1</v>
      </c>
      <c r="AZ60">
        <v>0</v>
      </c>
      <c r="BA60">
        <v>61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Y60*Source!I119</f>
        <v>8.0100139999999993E-3</v>
      </c>
      <c r="CY60">
        <f>AA60</f>
        <v>2407.44</v>
      </c>
      <c r="CZ60">
        <f>AE60</f>
        <v>2407.44</v>
      </c>
      <c r="DA60">
        <f>AI60</f>
        <v>1</v>
      </c>
      <c r="DB60">
        <f>ROUND(ROUND(AT60*CZ60,2),1)</f>
        <v>6.7</v>
      </c>
      <c r="DC60">
        <f>ROUND(ROUND(AT60*AG60,2),1)</f>
        <v>0</v>
      </c>
    </row>
    <row r="61" spans="1:107" x14ac:dyDescent="0.2">
      <c r="A61">
        <f>ROW(Source!A119)</f>
        <v>119</v>
      </c>
      <c r="B61">
        <v>50210945</v>
      </c>
      <c r="C61">
        <v>50211716</v>
      </c>
      <c r="D61">
        <v>45815194</v>
      </c>
      <c r="E61">
        <v>1</v>
      </c>
      <c r="F61">
        <v>1</v>
      </c>
      <c r="G61">
        <v>1</v>
      </c>
      <c r="H61">
        <v>3</v>
      </c>
      <c r="I61" t="s">
        <v>538</v>
      </c>
      <c r="J61" t="s">
        <v>539</v>
      </c>
      <c r="K61" t="s">
        <v>540</v>
      </c>
      <c r="L61">
        <v>1348</v>
      </c>
      <c r="N61">
        <v>1009</v>
      </c>
      <c r="O61" t="s">
        <v>190</v>
      </c>
      <c r="P61" t="s">
        <v>190</v>
      </c>
      <c r="Q61">
        <v>1000</v>
      </c>
      <c r="W61">
        <v>0</v>
      </c>
      <c r="X61">
        <v>314505374</v>
      </c>
      <c r="Y61">
        <v>2.14E-3</v>
      </c>
      <c r="AA61">
        <v>5469.5</v>
      </c>
      <c r="AB61">
        <v>0</v>
      </c>
      <c r="AC61">
        <v>0</v>
      </c>
      <c r="AD61">
        <v>0</v>
      </c>
      <c r="AE61">
        <v>5469.5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2.14E-3</v>
      </c>
      <c r="AU61" t="s">
        <v>3</v>
      </c>
      <c r="AV61">
        <v>0</v>
      </c>
      <c r="AW61">
        <v>2</v>
      </c>
      <c r="AX61">
        <v>50211741</v>
      </c>
      <c r="AY61">
        <v>1</v>
      </c>
      <c r="AZ61">
        <v>0</v>
      </c>
      <c r="BA61">
        <v>62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Y61*Source!I119</f>
        <v>6.1659819999999995E-3</v>
      </c>
      <c r="CY61">
        <f>AA61</f>
        <v>5469.5</v>
      </c>
      <c r="CZ61">
        <f>AE61</f>
        <v>5469.5</v>
      </c>
      <c r="DA61">
        <f>AI61</f>
        <v>1</v>
      </c>
      <c r="DB61">
        <f>ROUND(ROUND(AT61*CZ61,2),1)</f>
        <v>11.7</v>
      </c>
      <c r="DC61">
        <f>ROUND(ROUND(AT61*AG61,2),1)</f>
        <v>0</v>
      </c>
    </row>
    <row r="62" spans="1:107" x14ac:dyDescent="0.2">
      <c r="A62">
        <f>ROW(Source!A119)</f>
        <v>119</v>
      </c>
      <c r="B62">
        <v>50210945</v>
      </c>
      <c r="C62">
        <v>50211716</v>
      </c>
      <c r="D62">
        <v>45816047</v>
      </c>
      <c r="E62">
        <v>1</v>
      </c>
      <c r="F62">
        <v>1</v>
      </c>
      <c r="G62">
        <v>1</v>
      </c>
      <c r="H62">
        <v>3</v>
      </c>
      <c r="I62" t="s">
        <v>541</v>
      </c>
      <c r="J62" t="s">
        <v>542</v>
      </c>
      <c r="K62" t="s">
        <v>543</v>
      </c>
      <c r="L62">
        <v>1348</v>
      </c>
      <c r="N62">
        <v>1009</v>
      </c>
      <c r="O62" t="s">
        <v>190</v>
      </c>
      <c r="P62" t="s">
        <v>190</v>
      </c>
      <c r="Q62">
        <v>1000</v>
      </c>
      <c r="W62">
        <v>0</v>
      </c>
      <c r="X62">
        <v>-1858712530</v>
      </c>
      <c r="Y62">
        <v>1.0800000000000001E-2</v>
      </c>
      <c r="AA62">
        <v>1559.03</v>
      </c>
      <c r="AB62">
        <v>0</v>
      </c>
      <c r="AC62">
        <v>0</v>
      </c>
      <c r="AD62">
        <v>0</v>
      </c>
      <c r="AE62">
        <v>1559.03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1.0800000000000001E-2</v>
      </c>
      <c r="AU62" t="s">
        <v>3</v>
      </c>
      <c r="AV62">
        <v>0</v>
      </c>
      <c r="AW62">
        <v>2</v>
      </c>
      <c r="AX62">
        <v>50211742</v>
      </c>
      <c r="AY62">
        <v>1</v>
      </c>
      <c r="AZ62">
        <v>0</v>
      </c>
      <c r="BA62">
        <v>63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Y62*Source!I119</f>
        <v>3.1118040000000003E-2</v>
      </c>
      <c r="CY62">
        <f>AA62</f>
        <v>1559.03</v>
      </c>
      <c r="CZ62">
        <f>AE62</f>
        <v>1559.03</v>
      </c>
      <c r="DA62">
        <f>AI62</f>
        <v>1</v>
      </c>
      <c r="DB62">
        <f>ROUND(ROUND(AT62*CZ62,2),1)</f>
        <v>16.8</v>
      </c>
      <c r="DC62">
        <f>ROUND(ROUND(AT62*AG62,2),1)</f>
        <v>0</v>
      </c>
    </row>
    <row r="63" spans="1:107" x14ac:dyDescent="0.2">
      <c r="A63">
        <f>ROW(Source!A119)</f>
        <v>119</v>
      </c>
      <c r="B63">
        <v>50210945</v>
      </c>
      <c r="C63">
        <v>50211716</v>
      </c>
      <c r="D63">
        <v>45823092</v>
      </c>
      <c r="E63">
        <v>1</v>
      </c>
      <c r="F63">
        <v>1</v>
      </c>
      <c r="G63">
        <v>1</v>
      </c>
      <c r="H63">
        <v>3</v>
      </c>
      <c r="I63" t="s">
        <v>544</v>
      </c>
      <c r="J63" t="s">
        <v>545</v>
      </c>
      <c r="K63" t="s">
        <v>546</v>
      </c>
      <c r="L63">
        <v>1339</v>
      </c>
      <c r="N63">
        <v>1007</v>
      </c>
      <c r="O63" t="s">
        <v>153</v>
      </c>
      <c r="P63" t="s">
        <v>153</v>
      </c>
      <c r="Q63">
        <v>1</v>
      </c>
      <c r="W63">
        <v>0</v>
      </c>
      <c r="X63">
        <v>1115862217</v>
      </c>
      <c r="Y63">
        <v>0.28999999999999998</v>
      </c>
      <c r="AA63">
        <v>1173.28</v>
      </c>
      <c r="AB63">
        <v>0</v>
      </c>
      <c r="AC63">
        <v>0</v>
      </c>
      <c r="AD63">
        <v>0</v>
      </c>
      <c r="AE63">
        <v>1173.28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0.28999999999999998</v>
      </c>
      <c r="AU63" t="s">
        <v>3</v>
      </c>
      <c r="AV63">
        <v>0</v>
      </c>
      <c r="AW63">
        <v>2</v>
      </c>
      <c r="AX63">
        <v>50211743</v>
      </c>
      <c r="AY63">
        <v>1</v>
      </c>
      <c r="AZ63">
        <v>0</v>
      </c>
      <c r="BA63">
        <v>64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Y63*Source!I119</f>
        <v>0.8355769999999999</v>
      </c>
      <c r="CY63">
        <f>AA63</f>
        <v>1173.28</v>
      </c>
      <c r="CZ63">
        <f>AE63</f>
        <v>1173.28</v>
      </c>
      <c r="DA63">
        <f>AI63</f>
        <v>1</v>
      </c>
      <c r="DB63">
        <f>ROUND(ROUND(AT63*CZ63,2),1)</f>
        <v>340.3</v>
      </c>
      <c r="DC63">
        <f>ROUND(ROUND(AT63*AG63,2),1)</f>
        <v>0</v>
      </c>
    </row>
    <row r="64" spans="1:107" x14ac:dyDescent="0.2">
      <c r="A64">
        <f>ROW(Source!A119)</f>
        <v>119</v>
      </c>
      <c r="B64">
        <v>50210945</v>
      </c>
      <c r="C64">
        <v>50211716</v>
      </c>
      <c r="D64">
        <v>45865283</v>
      </c>
      <c r="E64">
        <v>1</v>
      </c>
      <c r="F64">
        <v>1</v>
      </c>
      <c r="G64">
        <v>1</v>
      </c>
      <c r="H64">
        <v>3</v>
      </c>
      <c r="I64" t="s">
        <v>547</v>
      </c>
      <c r="J64" t="s">
        <v>548</v>
      </c>
      <c r="K64" t="s">
        <v>549</v>
      </c>
      <c r="L64">
        <v>1348</v>
      </c>
      <c r="N64">
        <v>1009</v>
      </c>
      <c r="O64" t="s">
        <v>190</v>
      </c>
      <c r="P64" t="s">
        <v>190</v>
      </c>
      <c r="Q64">
        <v>1000</v>
      </c>
      <c r="W64">
        <v>0</v>
      </c>
      <c r="X64">
        <v>691979004</v>
      </c>
      <c r="Y64">
        <v>93.7</v>
      </c>
      <c r="AA64">
        <v>432.35</v>
      </c>
      <c r="AB64">
        <v>0</v>
      </c>
      <c r="AC64">
        <v>0</v>
      </c>
      <c r="AD64">
        <v>0</v>
      </c>
      <c r="AE64">
        <v>432.35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93.7</v>
      </c>
      <c r="AU64" t="s">
        <v>3</v>
      </c>
      <c r="AV64">
        <v>0</v>
      </c>
      <c r="AW64">
        <v>2</v>
      </c>
      <c r="AX64">
        <v>50211744</v>
      </c>
      <c r="AY64">
        <v>1</v>
      </c>
      <c r="AZ64">
        <v>0</v>
      </c>
      <c r="BA64">
        <v>65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Y64*Source!I119</f>
        <v>269.97781000000003</v>
      </c>
      <c r="CY64">
        <f>AA64</f>
        <v>432.35</v>
      </c>
      <c r="CZ64">
        <f>AE64</f>
        <v>432.35</v>
      </c>
      <c r="DA64">
        <f>AI64</f>
        <v>1</v>
      </c>
      <c r="DB64">
        <f>ROUND(ROUND(AT64*CZ64,2),1)</f>
        <v>40511.199999999997</v>
      </c>
      <c r="DC64">
        <f>ROUND(ROUND(AT64*AG64,2),1)</f>
        <v>0</v>
      </c>
    </row>
    <row r="65" spans="1:107" x14ac:dyDescent="0.2">
      <c r="A65">
        <f>ROW(Source!A120)</f>
        <v>120</v>
      </c>
      <c r="B65">
        <v>50210945</v>
      </c>
      <c r="C65">
        <v>50211745</v>
      </c>
      <c r="D65">
        <v>45967552</v>
      </c>
      <c r="E65">
        <v>1</v>
      </c>
      <c r="F65">
        <v>1</v>
      </c>
      <c r="G65">
        <v>1</v>
      </c>
      <c r="H65">
        <v>1</v>
      </c>
      <c r="I65" t="s">
        <v>515</v>
      </c>
      <c r="J65" t="s">
        <v>3</v>
      </c>
      <c r="K65" t="s">
        <v>516</v>
      </c>
      <c r="L65">
        <v>1476</v>
      </c>
      <c r="N65">
        <v>1013</v>
      </c>
      <c r="O65" t="s">
        <v>447</v>
      </c>
      <c r="P65" t="s">
        <v>448</v>
      </c>
      <c r="Q65">
        <v>1</v>
      </c>
      <c r="W65">
        <v>0</v>
      </c>
      <c r="X65">
        <v>-980287603</v>
      </c>
      <c r="Y65">
        <v>0.20699999999999999</v>
      </c>
      <c r="AA65">
        <v>0</v>
      </c>
      <c r="AB65">
        <v>0</v>
      </c>
      <c r="AC65">
        <v>0</v>
      </c>
      <c r="AD65">
        <v>7.83</v>
      </c>
      <c r="AE65">
        <v>0</v>
      </c>
      <c r="AF65">
        <v>0</v>
      </c>
      <c r="AG65">
        <v>0</v>
      </c>
      <c r="AH65">
        <v>7.83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0.09</v>
      </c>
      <c r="AU65" t="s">
        <v>181</v>
      </c>
      <c r="AV65">
        <v>1</v>
      </c>
      <c r="AW65">
        <v>2</v>
      </c>
      <c r="AX65">
        <v>50211749</v>
      </c>
      <c r="AY65">
        <v>1</v>
      </c>
      <c r="AZ65">
        <v>0</v>
      </c>
      <c r="BA65">
        <v>66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Y65*Source!I120</f>
        <v>0.59642909999999993</v>
      </c>
      <c r="CY65">
        <f>AD65</f>
        <v>7.83</v>
      </c>
      <c r="CZ65">
        <f>AH65</f>
        <v>7.83</v>
      </c>
      <c r="DA65">
        <f>AL65</f>
        <v>1</v>
      </c>
      <c r="DB65">
        <f>ROUND(((ROUND(AT65*CZ65,2)*1.15)*2),1)</f>
        <v>1.6</v>
      </c>
      <c r="DC65">
        <f>ROUND(((ROUND(AT65*AG65,2)*1.15)*2),1)</f>
        <v>0</v>
      </c>
    </row>
    <row r="66" spans="1:107" x14ac:dyDescent="0.2">
      <c r="A66">
        <f>ROW(Source!A120)</f>
        <v>120</v>
      </c>
      <c r="B66">
        <v>50210945</v>
      </c>
      <c r="C66">
        <v>50211745</v>
      </c>
      <c r="D66">
        <v>45816047</v>
      </c>
      <c r="E66">
        <v>1</v>
      </c>
      <c r="F66">
        <v>1</v>
      </c>
      <c r="G66">
        <v>1</v>
      </c>
      <c r="H66">
        <v>3</v>
      </c>
      <c r="I66" t="s">
        <v>541</v>
      </c>
      <c r="J66" t="s">
        <v>542</v>
      </c>
      <c r="K66" t="s">
        <v>543</v>
      </c>
      <c r="L66">
        <v>1348</v>
      </c>
      <c r="N66">
        <v>1009</v>
      </c>
      <c r="O66" t="s">
        <v>190</v>
      </c>
      <c r="P66" t="s">
        <v>190</v>
      </c>
      <c r="Q66">
        <v>1000</v>
      </c>
      <c r="W66">
        <v>0</v>
      </c>
      <c r="X66">
        <v>-1858712530</v>
      </c>
      <c r="Y66">
        <v>2.8E-3</v>
      </c>
      <c r="AA66">
        <v>1559.03</v>
      </c>
      <c r="AB66">
        <v>0</v>
      </c>
      <c r="AC66">
        <v>0</v>
      </c>
      <c r="AD66">
        <v>0</v>
      </c>
      <c r="AE66">
        <v>1559.03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1.4E-3</v>
      </c>
      <c r="AU66" t="s">
        <v>179</v>
      </c>
      <c r="AV66">
        <v>0</v>
      </c>
      <c r="AW66">
        <v>2</v>
      </c>
      <c r="AX66">
        <v>50211750</v>
      </c>
      <c r="AY66">
        <v>1</v>
      </c>
      <c r="AZ66">
        <v>0</v>
      </c>
      <c r="BA66">
        <v>67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Y66*Source!I120</f>
        <v>8.0676399999999992E-3</v>
      </c>
      <c r="CY66">
        <f>AA66</f>
        <v>1559.03</v>
      </c>
      <c r="CZ66">
        <f>AE66</f>
        <v>1559.03</v>
      </c>
      <c r="DA66">
        <f>AI66</f>
        <v>1</v>
      </c>
      <c r="DB66">
        <f>ROUND((ROUND(AT66*CZ66,2)*2),1)</f>
        <v>4.4000000000000004</v>
      </c>
      <c r="DC66">
        <f>ROUND((ROUND(AT66*AG66,2)*2),1)</f>
        <v>0</v>
      </c>
    </row>
    <row r="67" spans="1:107" x14ac:dyDescent="0.2">
      <c r="A67">
        <f>ROW(Source!A120)</f>
        <v>120</v>
      </c>
      <c r="B67">
        <v>50210945</v>
      </c>
      <c r="C67">
        <v>50211745</v>
      </c>
      <c r="D67">
        <v>45865283</v>
      </c>
      <c r="E67">
        <v>1</v>
      </c>
      <c r="F67">
        <v>1</v>
      </c>
      <c r="G67">
        <v>1</v>
      </c>
      <c r="H67">
        <v>3</v>
      </c>
      <c r="I67" t="s">
        <v>547</v>
      </c>
      <c r="J67" t="s">
        <v>548</v>
      </c>
      <c r="K67" t="s">
        <v>549</v>
      </c>
      <c r="L67">
        <v>1348</v>
      </c>
      <c r="N67">
        <v>1009</v>
      </c>
      <c r="O67" t="s">
        <v>190</v>
      </c>
      <c r="P67" t="s">
        <v>190</v>
      </c>
      <c r="Q67">
        <v>1000</v>
      </c>
      <c r="W67">
        <v>0</v>
      </c>
      <c r="X67">
        <v>691979004</v>
      </c>
      <c r="Y67">
        <v>23.4</v>
      </c>
      <c r="AA67">
        <v>432.35</v>
      </c>
      <c r="AB67">
        <v>0</v>
      </c>
      <c r="AC67">
        <v>0</v>
      </c>
      <c r="AD67">
        <v>0</v>
      </c>
      <c r="AE67">
        <v>432.35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11.7</v>
      </c>
      <c r="AU67" t="s">
        <v>179</v>
      </c>
      <c r="AV67">
        <v>0</v>
      </c>
      <c r="AW67">
        <v>2</v>
      </c>
      <c r="AX67">
        <v>50211751</v>
      </c>
      <c r="AY67">
        <v>1</v>
      </c>
      <c r="AZ67">
        <v>0</v>
      </c>
      <c r="BA67">
        <v>68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Y67*Source!I120</f>
        <v>67.422419999999988</v>
      </c>
      <c r="CY67">
        <f>AA67</f>
        <v>432.35</v>
      </c>
      <c r="CZ67">
        <f>AE67</f>
        <v>432.35</v>
      </c>
      <c r="DA67">
        <f>AI67</f>
        <v>1</v>
      </c>
      <c r="DB67">
        <f>ROUND((ROUND(AT67*CZ67,2)*2),1)</f>
        <v>10117</v>
      </c>
      <c r="DC67">
        <f>ROUND((ROUND(AT67*AG67,2)*2),1)</f>
        <v>0</v>
      </c>
    </row>
    <row r="68" spans="1:107" x14ac:dyDescent="0.2">
      <c r="A68">
        <f>ROW(Source!A121)</f>
        <v>121</v>
      </c>
      <c r="B68">
        <v>50210945</v>
      </c>
      <c r="C68">
        <v>50211752</v>
      </c>
      <c r="D68">
        <v>121548</v>
      </c>
      <c r="E68">
        <v>1</v>
      </c>
      <c r="F68">
        <v>1</v>
      </c>
      <c r="G68">
        <v>1</v>
      </c>
      <c r="H68">
        <v>1</v>
      </c>
      <c r="I68" t="s">
        <v>25</v>
      </c>
      <c r="J68" t="s">
        <v>3</v>
      </c>
      <c r="K68" t="s">
        <v>463</v>
      </c>
      <c r="L68">
        <v>608254</v>
      </c>
      <c r="N68">
        <v>1013</v>
      </c>
      <c r="O68" t="s">
        <v>464</v>
      </c>
      <c r="P68" t="s">
        <v>464</v>
      </c>
      <c r="Q68">
        <v>1</v>
      </c>
      <c r="W68">
        <v>0</v>
      </c>
      <c r="X68">
        <v>-185737400</v>
      </c>
      <c r="Y68">
        <v>0.82500000000000007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0.66</v>
      </c>
      <c r="AU68" t="s">
        <v>11</v>
      </c>
      <c r="AV68">
        <v>2</v>
      </c>
      <c r="AW68">
        <v>2</v>
      </c>
      <c r="AX68">
        <v>50211756</v>
      </c>
      <c r="AY68">
        <v>1</v>
      </c>
      <c r="AZ68">
        <v>0</v>
      </c>
      <c r="BA68">
        <v>69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Y68*Source!I121</f>
        <v>0.71313000000000004</v>
      </c>
      <c r="CY68">
        <f>AD68</f>
        <v>0</v>
      </c>
      <c r="CZ68">
        <f>AH68</f>
        <v>0</v>
      </c>
      <c r="DA68">
        <f>AL68</f>
        <v>1</v>
      </c>
      <c r="DB68">
        <f>ROUND((ROUND(AT68*CZ68,2)*1.25),1)</f>
        <v>0</v>
      </c>
      <c r="DC68">
        <f>ROUND((ROUND(AT68*AG68,2)*1.25),1)</f>
        <v>0</v>
      </c>
    </row>
    <row r="69" spans="1:107" x14ac:dyDescent="0.2">
      <c r="A69">
        <f>ROW(Source!A121)</f>
        <v>121</v>
      </c>
      <c r="B69">
        <v>50210945</v>
      </c>
      <c r="C69">
        <v>50211752</v>
      </c>
      <c r="D69">
        <v>45811915</v>
      </c>
      <c r="E69">
        <v>1</v>
      </c>
      <c r="F69">
        <v>1</v>
      </c>
      <c r="G69">
        <v>1</v>
      </c>
      <c r="H69">
        <v>2</v>
      </c>
      <c r="I69" t="s">
        <v>509</v>
      </c>
      <c r="J69" t="s">
        <v>510</v>
      </c>
      <c r="K69" t="s">
        <v>511</v>
      </c>
      <c r="L69">
        <v>45811227</v>
      </c>
      <c r="N69">
        <v>1013</v>
      </c>
      <c r="O69" t="s">
        <v>452</v>
      </c>
      <c r="P69" t="s">
        <v>452</v>
      </c>
      <c r="Q69">
        <v>1</v>
      </c>
      <c r="W69">
        <v>0</v>
      </c>
      <c r="X69">
        <v>652214062</v>
      </c>
      <c r="Y69">
        <v>0.41250000000000003</v>
      </c>
      <c r="AA69">
        <v>0</v>
      </c>
      <c r="AB69">
        <v>119.57</v>
      </c>
      <c r="AC69">
        <v>21.26</v>
      </c>
      <c r="AD69">
        <v>0</v>
      </c>
      <c r="AE69">
        <v>0</v>
      </c>
      <c r="AF69">
        <v>119.57</v>
      </c>
      <c r="AG69">
        <v>21.26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0.33</v>
      </c>
      <c r="AU69" t="s">
        <v>11</v>
      </c>
      <c r="AV69">
        <v>0</v>
      </c>
      <c r="AW69">
        <v>2</v>
      </c>
      <c r="AX69">
        <v>50211757</v>
      </c>
      <c r="AY69">
        <v>1</v>
      </c>
      <c r="AZ69">
        <v>0</v>
      </c>
      <c r="BA69">
        <v>70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Y69*Source!I121</f>
        <v>0.35656500000000002</v>
      </c>
      <c r="CY69">
        <f>AB69</f>
        <v>119.57</v>
      </c>
      <c r="CZ69">
        <f>AF69</f>
        <v>119.57</v>
      </c>
      <c r="DA69">
        <f>AJ69</f>
        <v>1</v>
      </c>
      <c r="DB69">
        <f>ROUND((ROUND(AT69*CZ69,2)*1.25),1)</f>
        <v>49.3</v>
      </c>
      <c r="DC69">
        <f>ROUND((ROUND(AT69*AG69,2)*1.25),1)</f>
        <v>8.8000000000000007</v>
      </c>
    </row>
    <row r="70" spans="1:107" x14ac:dyDescent="0.2">
      <c r="A70">
        <f>ROW(Source!A121)</f>
        <v>121</v>
      </c>
      <c r="B70">
        <v>50210945</v>
      </c>
      <c r="C70">
        <v>50211752</v>
      </c>
      <c r="D70">
        <v>45816049</v>
      </c>
      <c r="E70">
        <v>1</v>
      </c>
      <c r="F70">
        <v>1</v>
      </c>
      <c r="G70">
        <v>1</v>
      </c>
      <c r="H70">
        <v>3</v>
      </c>
      <c r="I70" t="s">
        <v>512</v>
      </c>
      <c r="J70" t="s">
        <v>513</v>
      </c>
      <c r="K70" t="s">
        <v>514</v>
      </c>
      <c r="L70">
        <v>1348</v>
      </c>
      <c r="N70">
        <v>1009</v>
      </c>
      <c r="O70" t="s">
        <v>190</v>
      </c>
      <c r="P70" t="s">
        <v>190</v>
      </c>
      <c r="Q70">
        <v>1000</v>
      </c>
      <c r="W70">
        <v>0</v>
      </c>
      <c r="X70">
        <v>-1734730509</v>
      </c>
      <c r="Y70">
        <v>1.03</v>
      </c>
      <c r="AA70">
        <v>1424.35</v>
      </c>
      <c r="AB70">
        <v>0</v>
      </c>
      <c r="AC70">
        <v>0</v>
      </c>
      <c r="AD70">
        <v>0</v>
      </c>
      <c r="AE70">
        <v>1424.35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1.03</v>
      </c>
      <c r="AU70" t="s">
        <v>3</v>
      </c>
      <c r="AV70">
        <v>0</v>
      </c>
      <c r="AW70">
        <v>2</v>
      </c>
      <c r="AX70">
        <v>50211758</v>
      </c>
      <c r="AY70">
        <v>1</v>
      </c>
      <c r="AZ70">
        <v>0</v>
      </c>
      <c r="BA70">
        <v>71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Y70*Source!I121</f>
        <v>0.89033200000000001</v>
      </c>
      <c r="CY70">
        <f>AA70</f>
        <v>1424.35</v>
      </c>
      <c r="CZ70">
        <f>AE70</f>
        <v>1424.35</v>
      </c>
      <c r="DA70">
        <f>AI70</f>
        <v>1</v>
      </c>
      <c r="DB70">
        <f>ROUND(ROUND(AT70*CZ70,2),1)</f>
        <v>1467.1</v>
      </c>
      <c r="DC70">
        <f>ROUND(ROUND(AT70*AG70,2),1)</f>
        <v>0</v>
      </c>
    </row>
    <row r="71" spans="1:107" x14ac:dyDescent="0.2">
      <c r="A71">
        <f>ROW(Source!A122)</f>
        <v>122</v>
      </c>
      <c r="B71">
        <v>50210945</v>
      </c>
      <c r="C71">
        <v>50211759</v>
      </c>
      <c r="D71">
        <v>45967552</v>
      </c>
      <c r="E71">
        <v>1</v>
      </c>
      <c r="F71">
        <v>1</v>
      </c>
      <c r="G71">
        <v>1</v>
      </c>
      <c r="H71">
        <v>1</v>
      </c>
      <c r="I71" t="s">
        <v>515</v>
      </c>
      <c r="J71" t="s">
        <v>3</v>
      </c>
      <c r="K71" t="s">
        <v>516</v>
      </c>
      <c r="L71">
        <v>1476</v>
      </c>
      <c r="N71">
        <v>1013</v>
      </c>
      <c r="O71" t="s">
        <v>447</v>
      </c>
      <c r="P71" t="s">
        <v>448</v>
      </c>
      <c r="Q71">
        <v>1</v>
      </c>
      <c r="W71">
        <v>0</v>
      </c>
      <c r="X71">
        <v>-980287603</v>
      </c>
      <c r="Y71">
        <v>44.044999999999995</v>
      </c>
      <c r="AA71">
        <v>0</v>
      </c>
      <c r="AB71">
        <v>0</v>
      </c>
      <c r="AC71">
        <v>0</v>
      </c>
      <c r="AD71">
        <v>7.83</v>
      </c>
      <c r="AE71">
        <v>0</v>
      </c>
      <c r="AF71">
        <v>0</v>
      </c>
      <c r="AG71">
        <v>0</v>
      </c>
      <c r="AH71">
        <v>7.83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38.299999999999997</v>
      </c>
      <c r="AU71" t="s">
        <v>12</v>
      </c>
      <c r="AV71">
        <v>1</v>
      </c>
      <c r="AW71">
        <v>2</v>
      </c>
      <c r="AX71">
        <v>50211774</v>
      </c>
      <c r="AY71">
        <v>1</v>
      </c>
      <c r="AZ71">
        <v>0</v>
      </c>
      <c r="BA71">
        <v>72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Y71*Source!I122</f>
        <v>126.90685849999998</v>
      </c>
      <c r="CY71">
        <f>AD71</f>
        <v>7.83</v>
      </c>
      <c r="CZ71">
        <f>AH71</f>
        <v>7.83</v>
      </c>
      <c r="DA71">
        <f>AL71</f>
        <v>1</v>
      </c>
      <c r="DB71">
        <f>ROUND((ROUND(AT71*CZ71,2)*1.15),1)</f>
        <v>344.9</v>
      </c>
      <c r="DC71">
        <f>ROUND((ROUND(AT71*AG71,2)*1.15),1)</f>
        <v>0</v>
      </c>
    </row>
    <row r="72" spans="1:107" x14ac:dyDescent="0.2">
      <c r="A72">
        <f>ROW(Source!A122)</f>
        <v>122</v>
      </c>
      <c r="B72">
        <v>50210945</v>
      </c>
      <c r="C72">
        <v>50211759</v>
      </c>
      <c r="D72">
        <v>121548</v>
      </c>
      <c r="E72">
        <v>1</v>
      </c>
      <c r="F72">
        <v>1</v>
      </c>
      <c r="G72">
        <v>1</v>
      </c>
      <c r="H72">
        <v>1</v>
      </c>
      <c r="I72" t="s">
        <v>25</v>
      </c>
      <c r="J72" t="s">
        <v>3</v>
      </c>
      <c r="K72" t="s">
        <v>463</v>
      </c>
      <c r="L72">
        <v>608254</v>
      </c>
      <c r="N72">
        <v>1013</v>
      </c>
      <c r="O72" t="s">
        <v>464</v>
      </c>
      <c r="P72" t="s">
        <v>464</v>
      </c>
      <c r="Q72">
        <v>1</v>
      </c>
      <c r="W72">
        <v>0</v>
      </c>
      <c r="X72">
        <v>-185737400</v>
      </c>
      <c r="Y72">
        <v>23.849999999999998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19.079999999999998</v>
      </c>
      <c r="AU72" t="s">
        <v>11</v>
      </c>
      <c r="AV72">
        <v>2</v>
      </c>
      <c r="AW72">
        <v>2</v>
      </c>
      <c r="AX72">
        <v>50211775</v>
      </c>
      <c r="AY72">
        <v>1</v>
      </c>
      <c r="AZ72">
        <v>0</v>
      </c>
      <c r="BA72">
        <v>73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Y72*Source!I122</f>
        <v>68.719004999999996</v>
      </c>
      <c r="CY72">
        <f>AD72</f>
        <v>0</v>
      </c>
      <c r="CZ72">
        <f>AH72</f>
        <v>0</v>
      </c>
      <c r="DA72">
        <f>AL72</f>
        <v>1</v>
      </c>
      <c r="DB72">
        <f t="shared" ref="DB72:DB79" si="13">ROUND((ROUND(AT72*CZ72,2)*1.25),1)</f>
        <v>0</v>
      </c>
      <c r="DC72">
        <f t="shared" ref="DC72:DC79" si="14">ROUND((ROUND(AT72*AG72,2)*1.25),1)</f>
        <v>0</v>
      </c>
    </row>
    <row r="73" spans="1:107" x14ac:dyDescent="0.2">
      <c r="A73">
        <f>ROW(Source!A122)</f>
        <v>122</v>
      </c>
      <c r="B73">
        <v>50210945</v>
      </c>
      <c r="C73">
        <v>50211759</v>
      </c>
      <c r="D73">
        <v>45811353</v>
      </c>
      <c r="E73">
        <v>1</v>
      </c>
      <c r="F73">
        <v>1</v>
      </c>
      <c r="G73">
        <v>1</v>
      </c>
      <c r="H73">
        <v>2</v>
      </c>
      <c r="I73" t="s">
        <v>517</v>
      </c>
      <c r="J73" t="s">
        <v>518</v>
      </c>
      <c r="K73" t="s">
        <v>519</v>
      </c>
      <c r="L73">
        <v>45811227</v>
      </c>
      <c r="N73">
        <v>1013</v>
      </c>
      <c r="O73" t="s">
        <v>452</v>
      </c>
      <c r="P73" t="s">
        <v>452</v>
      </c>
      <c r="Q73">
        <v>1</v>
      </c>
      <c r="W73">
        <v>0</v>
      </c>
      <c r="X73">
        <v>642700064</v>
      </c>
      <c r="Y73">
        <v>3.7499999999999999E-2</v>
      </c>
      <c r="AA73">
        <v>0</v>
      </c>
      <c r="AB73">
        <v>111.75</v>
      </c>
      <c r="AC73">
        <v>13.26</v>
      </c>
      <c r="AD73">
        <v>0</v>
      </c>
      <c r="AE73">
        <v>0</v>
      </c>
      <c r="AF73">
        <v>111.75</v>
      </c>
      <c r="AG73">
        <v>13.26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0.03</v>
      </c>
      <c r="AU73" t="s">
        <v>11</v>
      </c>
      <c r="AV73">
        <v>0</v>
      </c>
      <c r="AW73">
        <v>2</v>
      </c>
      <c r="AX73">
        <v>50211776</v>
      </c>
      <c r="AY73">
        <v>1</v>
      </c>
      <c r="AZ73">
        <v>0</v>
      </c>
      <c r="BA73">
        <v>74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Y73*Source!I122</f>
        <v>0.10804875</v>
      </c>
      <c r="CY73">
        <f t="shared" ref="CY73:CY79" si="15">AB73</f>
        <v>111.75</v>
      </c>
      <c r="CZ73">
        <f t="shared" ref="CZ73:CZ79" si="16">AF73</f>
        <v>111.75</v>
      </c>
      <c r="DA73">
        <f t="shared" ref="DA73:DA79" si="17">AJ73</f>
        <v>1</v>
      </c>
      <c r="DB73">
        <f t="shared" si="13"/>
        <v>4.2</v>
      </c>
      <c r="DC73">
        <f t="shared" si="14"/>
        <v>0.5</v>
      </c>
    </row>
    <row r="74" spans="1:107" x14ac:dyDescent="0.2">
      <c r="A74">
        <f>ROW(Source!A122)</f>
        <v>122</v>
      </c>
      <c r="B74">
        <v>50210945</v>
      </c>
      <c r="C74">
        <v>50211759</v>
      </c>
      <c r="D74">
        <v>45811928</v>
      </c>
      <c r="E74">
        <v>1</v>
      </c>
      <c r="F74">
        <v>1</v>
      </c>
      <c r="G74">
        <v>1</v>
      </c>
      <c r="H74">
        <v>2</v>
      </c>
      <c r="I74" t="s">
        <v>520</v>
      </c>
      <c r="J74" t="s">
        <v>521</v>
      </c>
      <c r="K74" t="s">
        <v>522</v>
      </c>
      <c r="L74">
        <v>45811227</v>
      </c>
      <c r="N74">
        <v>1013</v>
      </c>
      <c r="O74" t="s">
        <v>452</v>
      </c>
      <c r="P74" t="s">
        <v>452</v>
      </c>
      <c r="Q74">
        <v>1</v>
      </c>
      <c r="W74">
        <v>0</v>
      </c>
      <c r="X74">
        <v>1330007188</v>
      </c>
      <c r="Y74">
        <v>1.75</v>
      </c>
      <c r="AA74">
        <v>0</v>
      </c>
      <c r="AB74">
        <v>17.2</v>
      </c>
      <c r="AC74">
        <v>0</v>
      </c>
      <c r="AD74">
        <v>0</v>
      </c>
      <c r="AE74">
        <v>0</v>
      </c>
      <c r="AF74">
        <v>17.2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1.4</v>
      </c>
      <c r="AU74" t="s">
        <v>11</v>
      </c>
      <c r="AV74">
        <v>0</v>
      </c>
      <c r="AW74">
        <v>2</v>
      </c>
      <c r="AX74">
        <v>50211777</v>
      </c>
      <c r="AY74">
        <v>1</v>
      </c>
      <c r="AZ74">
        <v>0</v>
      </c>
      <c r="BA74">
        <v>75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Y74*Source!I122</f>
        <v>5.0422750000000001</v>
      </c>
      <c r="CY74">
        <f t="shared" si="15"/>
        <v>17.2</v>
      </c>
      <c r="CZ74">
        <f t="shared" si="16"/>
        <v>17.2</v>
      </c>
      <c r="DA74">
        <f t="shared" si="17"/>
        <v>1</v>
      </c>
      <c r="DB74">
        <f t="shared" si="13"/>
        <v>30.1</v>
      </c>
      <c r="DC74">
        <f t="shared" si="14"/>
        <v>0</v>
      </c>
    </row>
    <row r="75" spans="1:107" x14ac:dyDescent="0.2">
      <c r="A75">
        <f>ROW(Source!A122)</f>
        <v>122</v>
      </c>
      <c r="B75">
        <v>50210945</v>
      </c>
      <c r="C75">
        <v>50211759</v>
      </c>
      <c r="D75">
        <v>45811946</v>
      </c>
      <c r="E75">
        <v>1</v>
      </c>
      <c r="F75">
        <v>1</v>
      </c>
      <c r="G75">
        <v>1</v>
      </c>
      <c r="H75">
        <v>2</v>
      </c>
      <c r="I75" t="s">
        <v>523</v>
      </c>
      <c r="J75" t="s">
        <v>524</v>
      </c>
      <c r="K75" t="s">
        <v>525</v>
      </c>
      <c r="L75">
        <v>45811227</v>
      </c>
      <c r="N75">
        <v>1013</v>
      </c>
      <c r="O75" t="s">
        <v>452</v>
      </c>
      <c r="P75" t="s">
        <v>452</v>
      </c>
      <c r="Q75">
        <v>1</v>
      </c>
      <c r="W75">
        <v>0</v>
      </c>
      <c r="X75">
        <v>-1691718834</v>
      </c>
      <c r="Y75">
        <v>4.95</v>
      </c>
      <c r="AA75">
        <v>0</v>
      </c>
      <c r="AB75">
        <v>74.78</v>
      </c>
      <c r="AC75">
        <v>11.38</v>
      </c>
      <c r="AD75">
        <v>0</v>
      </c>
      <c r="AE75">
        <v>0</v>
      </c>
      <c r="AF75">
        <v>74.78</v>
      </c>
      <c r="AG75">
        <v>11.38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3.96</v>
      </c>
      <c r="AU75" t="s">
        <v>11</v>
      </c>
      <c r="AV75">
        <v>0</v>
      </c>
      <c r="AW75">
        <v>2</v>
      </c>
      <c r="AX75">
        <v>50211778</v>
      </c>
      <c r="AY75">
        <v>1</v>
      </c>
      <c r="AZ75">
        <v>0</v>
      </c>
      <c r="BA75">
        <v>76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Y75*Source!I122</f>
        <v>14.262435</v>
      </c>
      <c r="CY75">
        <f t="shared" si="15"/>
        <v>74.78</v>
      </c>
      <c r="CZ75">
        <f t="shared" si="16"/>
        <v>74.78</v>
      </c>
      <c r="DA75">
        <f t="shared" si="17"/>
        <v>1</v>
      </c>
      <c r="DB75">
        <f t="shared" si="13"/>
        <v>370.2</v>
      </c>
      <c r="DC75">
        <f t="shared" si="14"/>
        <v>56.3</v>
      </c>
    </row>
    <row r="76" spans="1:107" x14ac:dyDescent="0.2">
      <c r="A76">
        <f>ROW(Source!A122)</f>
        <v>122</v>
      </c>
      <c r="B76">
        <v>50210945</v>
      </c>
      <c r="C76">
        <v>50211759</v>
      </c>
      <c r="D76">
        <v>45811947</v>
      </c>
      <c r="E76">
        <v>1</v>
      </c>
      <c r="F76">
        <v>1</v>
      </c>
      <c r="G76">
        <v>1</v>
      </c>
      <c r="H76">
        <v>2</v>
      </c>
      <c r="I76" t="s">
        <v>526</v>
      </c>
      <c r="J76" t="s">
        <v>527</v>
      </c>
      <c r="K76" t="s">
        <v>528</v>
      </c>
      <c r="L76">
        <v>45811227</v>
      </c>
      <c r="N76">
        <v>1013</v>
      </c>
      <c r="O76" t="s">
        <v>452</v>
      </c>
      <c r="P76" t="s">
        <v>452</v>
      </c>
      <c r="Q76">
        <v>1</v>
      </c>
      <c r="W76">
        <v>0</v>
      </c>
      <c r="X76">
        <v>651192462</v>
      </c>
      <c r="Y76">
        <v>14.387499999999999</v>
      </c>
      <c r="AA76">
        <v>0</v>
      </c>
      <c r="AB76">
        <v>120.74</v>
      </c>
      <c r="AC76">
        <v>14.14</v>
      </c>
      <c r="AD76">
        <v>0</v>
      </c>
      <c r="AE76">
        <v>0</v>
      </c>
      <c r="AF76">
        <v>120.74</v>
      </c>
      <c r="AG76">
        <v>14.14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11.51</v>
      </c>
      <c r="AU76" t="s">
        <v>11</v>
      </c>
      <c r="AV76">
        <v>0</v>
      </c>
      <c r="AW76">
        <v>2</v>
      </c>
      <c r="AX76">
        <v>50211779</v>
      </c>
      <c r="AY76">
        <v>1</v>
      </c>
      <c r="AZ76">
        <v>0</v>
      </c>
      <c r="BA76">
        <v>77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Y76*Source!I122</f>
        <v>41.45470375</v>
      </c>
      <c r="CY76">
        <f t="shared" si="15"/>
        <v>120.74</v>
      </c>
      <c r="CZ76">
        <f t="shared" si="16"/>
        <v>120.74</v>
      </c>
      <c r="DA76">
        <f t="shared" si="17"/>
        <v>1</v>
      </c>
      <c r="DB76">
        <f t="shared" si="13"/>
        <v>1737.2</v>
      </c>
      <c r="DC76">
        <f t="shared" si="14"/>
        <v>203.4</v>
      </c>
    </row>
    <row r="77" spans="1:107" x14ac:dyDescent="0.2">
      <c r="A77">
        <f>ROW(Source!A122)</f>
        <v>122</v>
      </c>
      <c r="B77">
        <v>50210945</v>
      </c>
      <c r="C77">
        <v>50211759</v>
      </c>
      <c r="D77">
        <v>45812009</v>
      </c>
      <c r="E77">
        <v>1</v>
      </c>
      <c r="F77">
        <v>1</v>
      </c>
      <c r="G77">
        <v>1</v>
      </c>
      <c r="H77">
        <v>2</v>
      </c>
      <c r="I77" t="s">
        <v>479</v>
      </c>
      <c r="J77" t="s">
        <v>480</v>
      </c>
      <c r="K77" t="s">
        <v>481</v>
      </c>
      <c r="L77">
        <v>45811227</v>
      </c>
      <c r="N77">
        <v>1013</v>
      </c>
      <c r="O77" t="s">
        <v>452</v>
      </c>
      <c r="P77" t="s">
        <v>452</v>
      </c>
      <c r="Q77">
        <v>1</v>
      </c>
      <c r="W77">
        <v>0</v>
      </c>
      <c r="X77">
        <v>-1075265446</v>
      </c>
      <c r="Y77">
        <v>0.48750000000000004</v>
      </c>
      <c r="AA77">
        <v>0</v>
      </c>
      <c r="AB77">
        <v>110</v>
      </c>
      <c r="AC77">
        <v>11.38</v>
      </c>
      <c r="AD77">
        <v>0</v>
      </c>
      <c r="AE77">
        <v>0</v>
      </c>
      <c r="AF77">
        <v>110</v>
      </c>
      <c r="AG77">
        <v>11.38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0.39</v>
      </c>
      <c r="AU77" t="s">
        <v>11</v>
      </c>
      <c r="AV77">
        <v>0</v>
      </c>
      <c r="AW77">
        <v>2</v>
      </c>
      <c r="AX77">
        <v>50211780</v>
      </c>
      <c r="AY77">
        <v>1</v>
      </c>
      <c r="AZ77">
        <v>0</v>
      </c>
      <c r="BA77">
        <v>78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Y77*Source!I122</f>
        <v>1.4046337500000001</v>
      </c>
      <c r="CY77">
        <f t="shared" si="15"/>
        <v>110</v>
      </c>
      <c r="CZ77">
        <f t="shared" si="16"/>
        <v>110</v>
      </c>
      <c r="DA77">
        <f t="shared" si="17"/>
        <v>1</v>
      </c>
      <c r="DB77">
        <f t="shared" si="13"/>
        <v>53.6</v>
      </c>
      <c r="DC77">
        <f t="shared" si="14"/>
        <v>5.6</v>
      </c>
    </row>
    <row r="78" spans="1:107" x14ac:dyDescent="0.2">
      <c r="A78">
        <f>ROW(Source!A122)</f>
        <v>122</v>
      </c>
      <c r="B78">
        <v>50210945</v>
      </c>
      <c r="C78">
        <v>50211759</v>
      </c>
      <c r="D78">
        <v>45812032</v>
      </c>
      <c r="E78">
        <v>1</v>
      </c>
      <c r="F78">
        <v>1</v>
      </c>
      <c r="G78">
        <v>1</v>
      </c>
      <c r="H78">
        <v>2</v>
      </c>
      <c r="I78" t="s">
        <v>529</v>
      </c>
      <c r="J78" t="s">
        <v>530</v>
      </c>
      <c r="K78" t="s">
        <v>531</v>
      </c>
      <c r="L78">
        <v>45811227</v>
      </c>
      <c r="N78">
        <v>1013</v>
      </c>
      <c r="O78" t="s">
        <v>452</v>
      </c>
      <c r="P78" t="s">
        <v>452</v>
      </c>
      <c r="Q78">
        <v>1</v>
      </c>
      <c r="W78">
        <v>0</v>
      </c>
      <c r="X78">
        <v>1837553258</v>
      </c>
      <c r="Y78">
        <v>3.9874999999999998</v>
      </c>
      <c r="AA78">
        <v>0</v>
      </c>
      <c r="AB78">
        <v>194.94</v>
      </c>
      <c r="AC78">
        <v>14.14</v>
      </c>
      <c r="AD78">
        <v>0</v>
      </c>
      <c r="AE78">
        <v>0</v>
      </c>
      <c r="AF78">
        <v>194.94</v>
      </c>
      <c r="AG78">
        <v>14.14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3.19</v>
      </c>
      <c r="AU78" t="s">
        <v>11</v>
      </c>
      <c r="AV78">
        <v>0</v>
      </c>
      <c r="AW78">
        <v>2</v>
      </c>
      <c r="AX78">
        <v>50211781</v>
      </c>
      <c r="AY78">
        <v>1</v>
      </c>
      <c r="AZ78">
        <v>0</v>
      </c>
      <c r="BA78">
        <v>79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Y78*Source!I122</f>
        <v>11.489183749999999</v>
      </c>
      <c r="CY78">
        <f t="shared" si="15"/>
        <v>194.94</v>
      </c>
      <c r="CZ78">
        <f t="shared" si="16"/>
        <v>194.94</v>
      </c>
      <c r="DA78">
        <f t="shared" si="17"/>
        <v>1</v>
      </c>
      <c r="DB78">
        <f t="shared" si="13"/>
        <v>777.3</v>
      </c>
      <c r="DC78">
        <f t="shared" si="14"/>
        <v>56.4</v>
      </c>
    </row>
    <row r="79" spans="1:107" x14ac:dyDescent="0.2">
      <c r="A79">
        <f>ROW(Source!A122)</f>
        <v>122</v>
      </c>
      <c r="B79">
        <v>50210945</v>
      </c>
      <c r="C79">
        <v>50211759</v>
      </c>
      <c r="D79">
        <v>45813321</v>
      </c>
      <c r="E79">
        <v>1</v>
      </c>
      <c r="F79">
        <v>1</v>
      </c>
      <c r="G79">
        <v>1</v>
      </c>
      <c r="H79">
        <v>2</v>
      </c>
      <c r="I79" t="s">
        <v>532</v>
      </c>
      <c r="J79" t="s">
        <v>533</v>
      </c>
      <c r="K79" t="s">
        <v>534</v>
      </c>
      <c r="L79">
        <v>45811227</v>
      </c>
      <c r="N79">
        <v>1013</v>
      </c>
      <c r="O79" t="s">
        <v>452</v>
      </c>
      <c r="P79" t="s">
        <v>452</v>
      </c>
      <c r="Q79">
        <v>1</v>
      </c>
      <c r="W79">
        <v>0</v>
      </c>
      <c r="X79">
        <v>771999048</v>
      </c>
      <c r="Y79">
        <v>0.05</v>
      </c>
      <c r="AA79">
        <v>0</v>
      </c>
      <c r="AB79">
        <v>86.55</v>
      </c>
      <c r="AC79">
        <v>0</v>
      </c>
      <c r="AD79">
        <v>0</v>
      </c>
      <c r="AE79">
        <v>0</v>
      </c>
      <c r="AF79">
        <v>86.55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0.04</v>
      </c>
      <c r="AU79" t="s">
        <v>11</v>
      </c>
      <c r="AV79">
        <v>0</v>
      </c>
      <c r="AW79">
        <v>2</v>
      </c>
      <c r="AX79">
        <v>50211782</v>
      </c>
      <c r="AY79">
        <v>1</v>
      </c>
      <c r="AZ79">
        <v>0</v>
      </c>
      <c r="BA79">
        <v>80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Y79*Source!I122</f>
        <v>0.144065</v>
      </c>
      <c r="CY79">
        <f t="shared" si="15"/>
        <v>86.55</v>
      </c>
      <c r="CZ79">
        <f t="shared" si="16"/>
        <v>86.55</v>
      </c>
      <c r="DA79">
        <f t="shared" si="17"/>
        <v>1</v>
      </c>
      <c r="DB79">
        <f t="shared" si="13"/>
        <v>4.3</v>
      </c>
      <c r="DC79">
        <f t="shared" si="14"/>
        <v>0</v>
      </c>
    </row>
    <row r="80" spans="1:107" x14ac:dyDescent="0.2">
      <c r="A80">
        <f>ROW(Source!A122)</f>
        <v>122</v>
      </c>
      <c r="B80">
        <v>50210945</v>
      </c>
      <c r="C80">
        <v>50211759</v>
      </c>
      <c r="D80">
        <v>45815194</v>
      </c>
      <c r="E80">
        <v>1</v>
      </c>
      <c r="F80">
        <v>1</v>
      </c>
      <c r="G80">
        <v>1</v>
      </c>
      <c r="H80">
        <v>3</v>
      </c>
      <c r="I80" t="s">
        <v>538</v>
      </c>
      <c r="J80" t="s">
        <v>539</v>
      </c>
      <c r="K80" t="s">
        <v>540</v>
      </c>
      <c r="L80">
        <v>1348</v>
      </c>
      <c r="N80">
        <v>1009</v>
      </c>
      <c r="O80" t="s">
        <v>190</v>
      </c>
      <c r="P80" t="s">
        <v>190</v>
      </c>
      <c r="Q80">
        <v>1000</v>
      </c>
      <c r="W80">
        <v>0</v>
      </c>
      <c r="X80">
        <v>314505374</v>
      </c>
      <c r="Y80">
        <v>6.1999999999999998E-3</v>
      </c>
      <c r="AA80">
        <v>5469.5</v>
      </c>
      <c r="AB80">
        <v>0</v>
      </c>
      <c r="AC80">
        <v>0</v>
      </c>
      <c r="AD80">
        <v>0</v>
      </c>
      <c r="AE80">
        <v>5469.5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6.1999999999999998E-3</v>
      </c>
      <c r="AU80" t="s">
        <v>3</v>
      </c>
      <c r="AV80">
        <v>0</v>
      </c>
      <c r="AW80">
        <v>2</v>
      </c>
      <c r="AX80">
        <v>50211783</v>
      </c>
      <c r="AY80">
        <v>1</v>
      </c>
      <c r="AZ80">
        <v>0</v>
      </c>
      <c r="BA80">
        <v>81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Y80*Source!I122</f>
        <v>1.7864059999999998E-2</v>
      </c>
      <c r="CY80">
        <f>AA80</f>
        <v>5469.5</v>
      </c>
      <c r="CZ80">
        <f>AE80</f>
        <v>5469.5</v>
      </c>
      <c r="DA80">
        <f>AI80</f>
        <v>1</v>
      </c>
      <c r="DB80">
        <f>ROUND(ROUND(AT80*CZ80,2),1)</f>
        <v>33.9</v>
      </c>
      <c r="DC80">
        <f>ROUND(ROUND(AT80*AG80,2),1)</f>
        <v>0</v>
      </c>
    </row>
    <row r="81" spans="1:107" x14ac:dyDescent="0.2">
      <c r="A81">
        <f>ROW(Source!A122)</f>
        <v>122</v>
      </c>
      <c r="B81">
        <v>50210945</v>
      </c>
      <c r="C81">
        <v>50211759</v>
      </c>
      <c r="D81">
        <v>45816047</v>
      </c>
      <c r="E81">
        <v>1</v>
      </c>
      <c r="F81">
        <v>1</v>
      </c>
      <c r="G81">
        <v>1</v>
      </c>
      <c r="H81">
        <v>3</v>
      </c>
      <c r="I81" t="s">
        <v>541</v>
      </c>
      <c r="J81" t="s">
        <v>542</v>
      </c>
      <c r="K81" t="s">
        <v>543</v>
      </c>
      <c r="L81">
        <v>1348</v>
      </c>
      <c r="N81">
        <v>1009</v>
      </c>
      <c r="O81" t="s">
        <v>190</v>
      </c>
      <c r="P81" t="s">
        <v>190</v>
      </c>
      <c r="Q81">
        <v>1000</v>
      </c>
      <c r="W81">
        <v>0</v>
      </c>
      <c r="X81">
        <v>-1858712530</v>
      </c>
      <c r="Y81">
        <v>1.0800000000000001E-2</v>
      </c>
      <c r="AA81">
        <v>1559.03</v>
      </c>
      <c r="AB81">
        <v>0</v>
      </c>
      <c r="AC81">
        <v>0</v>
      </c>
      <c r="AD81">
        <v>0</v>
      </c>
      <c r="AE81">
        <v>1559.03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1.0800000000000001E-2</v>
      </c>
      <c r="AU81" t="s">
        <v>3</v>
      </c>
      <c r="AV81">
        <v>0</v>
      </c>
      <c r="AW81">
        <v>2</v>
      </c>
      <c r="AX81">
        <v>50211784</v>
      </c>
      <c r="AY81">
        <v>1</v>
      </c>
      <c r="AZ81">
        <v>0</v>
      </c>
      <c r="BA81">
        <v>82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Y81*Source!I122</f>
        <v>3.1118040000000003E-2</v>
      </c>
      <c r="CY81">
        <f>AA81</f>
        <v>1559.03</v>
      </c>
      <c r="CZ81">
        <f>AE81</f>
        <v>1559.03</v>
      </c>
      <c r="DA81">
        <f>AI81</f>
        <v>1</v>
      </c>
      <c r="DB81">
        <f>ROUND(ROUND(AT81*CZ81,2),1)</f>
        <v>16.8</v>
      </c>
      <c r="DC81">
        <f>ROUND(ROUND(AT81*AG81,2),1)</f>
        <v>0</v>
      </c>
    </row>
    <row r="82" spans="1:107" x14ac:dyDescent="0.2">
      <c r="A82">
        <f>ROW(Source!A122)</f>
        <v>122</v>
      </c>
      <c r="B82">
        <v>50210945</v>
      </c>
      <c r="C82">
        <v>50211759</v>
      </c>
      <c r="D82">
        <v>45823092</v>
      </c>
      <c r="E82">
        <v>1</v>
      </c>
      <c r="F82">
        <v>1</v>
      </c>
      <c r="G82">
        <v>1</v>
      </c>
      <c r="H82">
        <v>3</v>
      </c>
      <c r="I82" t="s">
        <v>544</v>
      </c>
      <c r="J82" t="s">
        <v>545</v>
      </c>
      <c r="K82" t="s">
        <v>546</v>
      </c>
      <c r="L82">
        <v>1339</v>
      </c>
      <c r="N82">
        <v>1007</v>
      </c>
      <c r="O82" t="s">
        <v>153</v>
      </c>
      <c r="P82" t="s">
        <v>153</v>
      </c>
      <c r="Q82">
        <v>1</v>
      </c>
      <c r="W82">
        <v>0</v>
      </c>
      <c r="X82">
        <v>1115862217</v>
      </c>
      <c r="Y82">
        <v>0.15</v>
      </c>
      <c r="AA82">
        <v>1173.28</v>
      </c>
      <c r="AB82">
        <v>0</v>
      </c>
      <c r="AC82">
        <v>0</v>
      </c>
      <c r="AD82">
        <v>0</v>
      </c>
      <c r="AE82">
        <v>1173.28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0.15</v>
      </c>
      <c r="AU82" t="s">
        <v>3</v>
      </c>
      <c r="AV82">
        <v>0</v>
      </c>
      <c r="AW82">
        <v>2</v>
      </c>
      <c r="AX82">
        <v>50211785</v>
      </c>
      <c r="AY82">
        <v>1</v>
      </c>
      <c r="AZ82">
        <v>0</v>
      </c>
      <c r="BA82">
        <v>83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Y82*Source!I122</f>
        <v>0.432195</v>
      </c>
      <c r="CY82">
        <f>AA82</f>
        <v>1173.28</v>
      </c>
      <c r="CZ82">
        <f>AE82</f>
        <v>1173.28</v>
      </c>
      <c r="DA82">
        <f>AI82</f>
        <v>1</v>
      </c>
      <c r="DB82">
        <f>ROUND(ROUND(AT82*CZ82,2),1)</f>
        <v>176</v>
      </c>
      <c r="DC82">
        <f>ROUND(ROUND(AT82*AG82,2),1)</f>
        <v>0</v>
      </c>
    </row>
    <row r="83" spans="1:107" x14ac:dyDescent="0.2">
      <c r="A83">
        <f>ROW(Source!A122)</f>
        <v>122</v>
      </c>
      <c r="B83">
        <v>50210945</v>
      </c>
      <c r="C83">
        <v>50211759</v>
      </c>
      <c r="D83">
        <v>45865266</v>
      </c>
      <c r="E83">
        <v>1</v>
      </c>
      <c r="F83">
        <v>1</v>
      </c>
      <c r="G83">
        <v>1</v>
      </c>
      <c r="H83">
        <v>3</v>
      </c>
      <c r="I83" t="s">
        <v>188</v>
      </c>
      <c r="J83" t="s">
        <v>191</v>
      </c>
      <c r="K83" t="s">
        <v>189</v>
      </c>
      <c r="L83">
        <v>1348</v>
      </c>
      <c r="N83">
        <v>1009</v>
      </c>
      <c r="O83" t="s">
        <v>190</v>
      </c>
      <c r="P83" t="s">
        <v>190</v>
      </c>
      <c r="Q83">
        <v>1000</v>
      </c>
      <c r="W83">
        <v>1</v>
      </c>
      <c r="X83">
        <v>256039489</v>
      </c>
      <c r="Y83">
        <v>-96.6</v>
      </c>
      <c r="AA83">
        <v>422.2</v>
      </c>
      <c r="AB83">
        <v>0</v>
      </c>
      <c r="AC83">
        <v>0</v>
      </c>
      <c r="AD83">
        <v>0</v>
      </c>
      <c r="AE83">
        <v>422.2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-96.6</v>
      </c>
      <c r="AU83" t="s">
        <v>3</v>
      </c>
      <c r="AV83">
        <v>0</v>
      </c>
      <c r="AW83">
        <v>2</v>
      </c>
      <c r="AX83">
        <v>50211786</v>
      </c>
      <c r="AY83">
        <v>1</v>
      </c>
      <c r="AZ83">
        <v>6144</v>
      </c>
      <c r="BA83">
        <v>84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Y83*Source!I122</f>
        <v>-278.33357999999998</v>
      </c>
      <c r="CY83">
        <f>AA83</f>
        <v>422.2</v>
      </c>
      <c r="CZ83">
        <f>AE83</f>
        <v>422.2</v>
      </c>
      <c r="DA83">
        <f>AI83</f>
        <v>1</v>
      </c>
      <c r="DB83">
        <f>ROUND(ROUND(AT83*CZ83,2),1)</f>
        <v>-40784.5</v>
      </c>
      <c r="DC83">
        <f>ROUND(ROUND(AT83*AG83,2),1)</f>
        <v>0</v>
      </c>
    </row>
    <row r="84" spans="1:107" x14ac:dyDescent="0.2">
      <c r="A84">
        <f>ROW(Source!A122)</f>
        <v>122</v>
      </c>
      <c r="B84">
        <v>50210945</v>
      </c>
      <c r="C84">
        <v>50211759</v>
      </c>
      <c r="D84">
        <v>45865268</v>
      </c>
      <c r="E84">
        <v>1</v>
      </c>
      <c r="F84">
        <v>1</v>
      </c>
      <c r="G84">
        <v>1</v>
      </c>
      <c r="H84">
        <v>3</v>
      </c>
      <c r="I84" t="s">
        <v>193</v>
      </c>
      <c r="J84" t="s">
        <v>195</v>
      </c>
      <c r="K84" t="s">
        <v>194</v>
      </c>
      <c r="L84">
        <v>1348</v>
      </c>
      <c r="N84">
        <v>1009</v>
      </c>
      <c r="O84" t="s">
        <v>190</v>
      </c>
      <c r="P84" t="s">
        <v>190</v>
      </c>
      <c r="Q84">
        <v>1000</v>
      </c>
      <c r="W84">
        <v>0</v>
      </c>
      <c r="X84">
        <v>-1313825229</v>
      </c>
      <c r="Y84">
        <v>96.6</v>
      </c>
      <c r="AA84">
        <v>444.48</v>
      </c>
      <c r="AB84">
        <v>0</v>
      </c>
      <c r="AC84">
        <v>0</v>
      </c>
      <c r="AD84">
        <v>0</v>
      </c>
      <c r="AE84">
        <v>444.48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0</v>
      </c>
      <c r="AP84">
        <v>0</v>
      </c>
      <c r="AQ84">
        <v>0</v>
      </c>
      <c r="AR84">
        <v>0</v>
      </c>
      <c r="AS84" t="s">
        <v>3</v>
      </c>
      <c r="AT84">
        <v>96.6</v>
      </c>
      <c r="AU84" t="s">
        <v>3</v>
      </c>
      <c r="AV84">
        <v>0</v>
      </c>
      <c r="AW84">
        <v>1</v>
      </c>
      <c r="AX84">
        <v>-1</v>
      </c>
      <c r="AY84">
        <v>0</v>
      </c>
      <c r="AZ84">
        <v>0</v>
      </c>
      <c r="BA84" t="s">
        <v>3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Y84*Source!I122</f>
        <v>278.33357999999998</v>
      </c>
      <c r="CY84">
        <f>AA84</f>
        <v>444.48</v>
      </c>
      <c r="CZ84">
        <f>AE84</f>
        <v>444.48</v>
      </c>
      <c r="DA84">
        <f>AI84</f>
        <v>1</v>
      </c>
      <c r="DB84">
        <f>ROUND(ROUND(AT84*CZ84,2),1)</f>
        <v>42936.800000000003</v>
      </c>
      <c r="DC84">
        <f>ROUND(ROUND(AT84*AG84,2),1)</f>
        <v>0</v>
      </c>
    </row>
    <row r="85" spans="1:107" x14ac:dyDescent="0.2">
      <c r="A85">
        <f>ROW(Source!A125)</f>
        <v>125</v>
      </c>
      <c r="B85">
        <v>50210945</v>
      </c>
      <c r="C85">
        <v>50211789</v>
      </c>
      <c r="D85">
        <v>45967552</v>
      </c>
      <c r="E85">
        <v>1</v>
      </c>
      <c r="F85">
        <v>1</v>
      </c>
      <c r="G85">
        <v>1</v>
      </c>
      <c r="H85">
        <v>1</v>
      </c>
      <c r="I85" t="s">
        <v>515</v>
      </c>
      <c r="J85" t="s">
        <v>3</v>
      </c>
      <c r="K85" t="s">
        <v>516</v>
      </c>
      <c r="L85">
        <v>1476</v>
      </c>
      <c r="N85">
        <v>1013</v>
      </c>
      <c r="O85" t="s">
        <v>447</v>
      </c>
      <c r="P85" t="s">
        <v>448</v>
      </c>
      <c r="Q85">
        <v>1</v>
      </c>
      <c r="W85">
        <v>0</v>
      </c>
      <c r="X85">
        <v>-980287603</v>
      </c>
      <c r="Y85">
        <v>0.20699999999999999</v>
      </c>
      <c r="AA85">
        <v>0</v>
      </c>
      <c r="AB85">
        <v>0</v>
      </c>
      <c r="AC85">
        <v>0</v>
      </c>
      <c r="AD85">
        <v>7.83</v>
      </c>
      <c r="AE85">
        <v>0</v>
      </c>
      <c r="AF85">
        <v>0</v>
      </c>
      <c r="AG85">
        <v>0</v>
      </c>
      <c r="AH85">
        <v>7.83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0.09</v>
      </c>
      <c r="AU85" t="s">
        <v>181</v>
      </c>
      <c r="AV85">
        <v>1</v>
      </c>
      <c r="AW85">
        <v>2</v>
      </c>
      <c r="AX85">
        <v>50211795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Y85*Source!I125</f>
        <v>0.59642909999999993</v>
      </c>
      <c r="CY85">
        <f>AD85</f>
        <v>7.83</v>
      </c>
      <c r="CZ85">
        <f>AH85</f>
        <v>7.83</v>
      </c>
      <c r="DA85">
        <f>AL85</f>
        <v>1</v>
      </c>
      <c r="DB85">
        <f>ROUND(((ROUND(AT85*CZ85,2)*1.15)*2),1)</f>
        <v>1.6</v>
      </c>
      <c r="DC85">
        <f>ROUND(((ROUND(AT85*AG85,2)*1.15)*2),1)</f>
        <v>0</v>
      </c>
    </row>
    <row r="86" spans="1:107" x14ac:dyDescent="0.2">
      <c r="A86">
        <f>ROW(Source!A125)</f>
        <v>125</v>
      </c>
      <c r="B86">
        <v>50210945</v>
      </c>
      <c r="C86">
        <v>50211789</v>
      </c>
      <c r="D86">
        <v>45811928</v>
      </c>
      <c r="E86">
        <v>1</v>
      </c>
      <c r="F86">
        <v>1</v>
      </c>
      <c r="G86">
        <v>1</v>
      </c>
      <c r="H86">
        <v>2</v>
      </c>
      <c r="I86" t="s">
        <v>520</v>
      </c>
      <c r="J86" t="s">
        <v>521</v>
      </c>
      <c r="K86" t="s">
        <v>522</v>
      </c>
      <c r="L86">
        <v>45811227</v>
      </c>
      <c r="N86">
        <v>1013</v>
      </c>
      <c r="O86" t="s">
        <v>452</v>
      </c>
      <c r="P86" t="s">
        <v>452</v>
      </c>
      <c r="Q86">
        <v>1</v>
      </c>
      <c r="W86">
        <v>0</v>
      </c>
      <c r="X86">
        <v>1330007188</v>
      </c>
      <c r="Y86">
        <v>0.44999999999999996</v>
      </c>
      <c r="AA86">
        <v>0</v>
      </c>
      <c r="AB86">
        <v>17.2</v>
      </c>
      <c r="AC86">
        <v>0</v>
      </c>
      <c r="AD86">
        <v>0</v>
      </c>
      <c r="AE86">
        <v>0</v>
      </c>
      <c r="AF86">
        <v>17.2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0.18</v>
      </c>
      <c r="AU86" t="s">
        <v>180</v>
      </c>
      <c r="AV86">
        <v>0</v>
      </c>
      <c r="AW86">
        <v>2</v>
      </c>
      <c r="AX86">
        <v>50211796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Y86*Source!I125</f>
        <v>1.2965849999999999</v>
      </c>
      <c r="CY86">
        <f>AB86</f>
        <v>17.2</v>
      </c>
      <c r="CZ86">
        <f>AF86</f>
        <v>17.2</v>
      </c>
      <c r="DA86">
        <f>AJ86</f>
        <v>1</v>
      </c>
      <c r="DB86">
        <f>ROUND(((ROUND(AT86*CZ86,2)*1.25)*2),1)</f>
        <v>7.8</v>
      </c>
      <c r="DC86">
        <f>ROUND(((ROUND(AT86*AG86,2)*1.25)*2),1)</f>
        <v>0</v>
      </c>
    </row>
    <row r="87" spans="1:107" x14ac:dyDescent="0.2">
      <c r="A87">
        <f>ROW(Source!A125)</f>
        <v>125</v>
      </c>
      <c r="B87">
        <v>50210945</v>
      </c>
      <c r="C87">
        <v>50211789</v>
      </c>
      <c r="D87">
        <v>45816047</v>
      </c>
      <c r="E87">
        <v>1</v>
      </c>
      <c r="F87">
        <v>1</v>
      </c>
      <c r="G87">
        <v>1</v>
      </c>
      <c r="H87">
        <v>3</v>
      </c>
      <c r="I87" t="s">
        <v>541</v>
      </c>
      <c r="J87" t="s">
        <v>542</v>
      </c>
      <c r="K87" t="s">
        <v>543</v>
      </c>
      <c r="L87">
        <v>1348</v>
      </c>
      <c r="N87">
        <v>1009</v>
      </c>
      <c r="O87" t="s">
        <v>190</v>
      </c>
      <c r="P87" t="s">
        <v>190</v>
      </c>
      <c r="Q87">
        <v>1000</v>
      </c>
      <c r="W87">
        <v>0</v>
      </c>
      <c r="X87">
        <v>-1858712530</v>
      </c>
      <c r="Y87">
        <v>2.8E-3</v>
      </c>
      <c r="AA87">
        <v>1559.03</v>
      </c>
      <c r="AB87">
        <v>0</v>
      </c>
      <c r="AC87">
        <v>0</v>
      </c>
      <c r="AD87">
        <v>0</v>
      </c>
      <c r="AE87">
        <v>1559.03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1.4E-3</v>
      </c>
      <c r="AU87" t="s">
        <v>200</v>
      </c>
      <c r="AV87">
        <v>0</v>
      </c>
      <c r="AW87">
        <v>2</v>
      </c>
      <c r="AX87">
        <v>50211797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Y87*Source!I125</f>
        <v>8.0676399999999992E-3</v>
      </c>
      <c r="CY87">
        <f>AA87</f>
        <v>1559.03</v>
      </c>
      <c r="CZ87">
        <f>AE87</f>
        <v>1559.03</v>
      </c>
      <c r="DA87">
        <f>AI87</f>
        <v>1</v>
      </c>
      <c r="DB87">
        <f>ROUND((ROUND(AT87*CZ87,2)*2),1)</f>
        <v>4.4000000000000004</v>
      </c>
      <c r="DC87">
        <f>ROUND((ROUND(AT87*AG87,2)*2),1)</f>
        <v>0</v>
      </c>
    </row>
    <row r="88" spans="1:107" x14ac:dyDescent="0.2">
      <c r="A88">
        <f>ROW(Source!A125)</f>
        <v>125</v>
      </c>
      <c r="B88">
        <v>50210945</v>
      </c>
      <c r="C88">
        <v>50211789</v>
      </c>
      <c r="D88">
        <v>45865266</v>
      </c>
      <c r="E88">
        <v>1</v>
      </c>
      <c r="F88">
        <v>1</v>
      </c>
      <c r="G88">
        <v>1</v>
      </c>
      <c r="H88">
        <v>3</v>
      </c>
      <c r="I88" t="s">
        <v>188</v>
      </c>
      <c r="J88" t="s">
        <v>191</v>
      </c>
      <c r="K88" t="s">
        <v>189</v>
      </c>
      <c r="L88">
        <v>1348</v>
      </c>
      <c r="N88">
        <v>1009</v>
      </c>
      <c r="O88" t="s">
        <v>190</v>
      </c>
      <c r="P88" t="s">
        <v>190</v>
      </c>
      <c r="Q88">
        <v>1000</v>
      </c>
      <c r="W88">
        <v>1</v>
      </c>
      <c r="X88">
        <v>256039489</v>
      </c>
      <c r="Y88">
        <v>-24.2</v>
      </c>
      <c r="AA88">
        <v>422.2</v>
      </c>
      <c r="AB88">
        <v>0</v>
      </c>
      <c r="AC88">
        <v>0</v>
      </c>
      <c r="AD88">
        <v>0</v>
      </c>
      <c r="AE88">
        <v>422.2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-12.1</v>
      </c>
      <c r="AU88" t="s">
        <v>200</v>
      </c>
      <c r="AV88">
        <v>0</v>
      </c>
      <c r="AW88">
        <v>2</v>
      </c>
      <c r="AX88">
        <v>50211798</v>
      </c>
      <c r="AY88">
        <v>1</v>
      </c>
      <c r="AZ88">
        <v>6144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Y88*Source!I125</f>
        <v>-69.727459999999994</v>
      </c>
      <c r="CY88">
        <f>AA88</f>
        <v>422.2</v>
      </c>
      <c r="CZ88">
        <f>AE88</f>
        <v>422.2</v>
      </c>
      <c r="DA88">
        <f>AI88</f>
        <v>1</v>
      </c>
      <c r="DB88">
        <f>ROUND((ROUND(AT88*CZ88,2)*2),1)</f>
        <v>-10217.200000000001</v>
      </c>
      <c r="DC88">
        <f>ROUND((ROUND(AT88*AG88,2)*2),1)</f>
        <v>0</v>
      </c>
    </row>
    <row r="89" spans="1:107" x14ac:dyDescent="0.2">
      <c r="A89">
        <f>ROW(Source!A125)</f>
        <v>125</v>
      </c>
      <c r="B89">
        <v>50210945</v>
      </c>
      <c r="C89">
        <v>50211789</v>
      </c>
      <c r="D89">
        <v>45865268</v>
      </c>
      <c r="E89">
        <v>1</v>
      </c>
      <c r="F89">
        <v>1</v>
      </c>
      <c r="G89">
        <v>1</v>
      </c>
      <c r="H89">
        <v>3</v>
      </c>
      <c r="I89" t="s">
        <v>193</v>
      </c>
      <c r="J89" t="s">
        <v>195</v>
      </c>
      <c r="K89" t="s">
        <v>194</v>
      </c>
      <c r="L89">
        <v>1348</v>
      </c>
      <c r="N89">
        <v>1009</v>
      </c>
      <c r="O89" t="s">
        <v>190</v>
      </c>
      <c r="P89" t="s">
        <v>190</v>
      </c>
      <c r="Q89">
        <v>1000</v>
      </c>
      <c r="W89">
        <v>0</v>
      </c>
      <c r="X89">
        <v>-1313825229</v>
      </c>
      <c r="Y89">
        <v>24.2</v>
      </c>
      <c r="AA89">
        <v>444.48</v>
      </c>
      <c r="AB89">
        <v>0</v>
      </c>
      <c r="AC89">
        <v>0</v>
      </c>
      <c r="AD89">
        <v>0</v>
      </c>
      <c r="AE89">
        <v>444.48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0</v>
      </c>
      <c r="AP89">
        <v>1</v>
      </c>
      <c r="AQ89">
        <v>0</v>
      </c>
      <c r="AR89">
        <v>0</v>
      </c>
      <c r="AS89" t="s">
        <v>3</v>
      </c>
      <c r="AT89">
        <v>12.1</v>
      </c>
      <c r="AU89" t="s">
        <v>200</v>
      </c>
      <c r="AV89">
        <v>0</v>
      </c>
      <c r="AW89">
        <v>1</v>
      </c>
      <c r="AX89">
        <v>-1</v>
      </c>
      <c r="AY89">
        <v>0</v>
      </c>
      <c r="AZ89">
        <v>0</v>
      </c>
      <c r="BA89" t="s">
        <v>3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Y89*Source!I125</f>
        <v>69.727459999999994</v>
      </c>
      <c r="CY89">
        <f>AA89</f>
        <v>444.48</v>
      </c>
      <c r="CZ89">
        <f>AE89</f>
        <v>444.48</v>
      </c>
      <c r="DA89">
        <f>AI89</f>
        <v>1</v>
      </c>
      <c r="DB89">
        <f>ROUND((ROUND(AT89*CZ89,2)*2),1)</f>
        <v>10756.4</v>
      </c>
      <c r="DC89">
        <f>ROUND((ROUND(AT89*AG89,2)*2),1)</f>
        <v>0</v>
      </c>
    </row>
    <row r="90" spans="1:107" x14ac:dyDescent="0.2">
      <c r="A90">
        <f>ROW(Source!A163)</f>
        <v>163</v>
      </c>
      <c r="B90">
        <v>50210945</v>
      </c>
      <c r="C90">
        <v>50211801</v>
      </c>
      <c r="D90">
        <v>45975178</v>
      </c>
      <c r="E90">
        <v>1</v>
      </c>
      <c r="F90">
        <v>1</v>
      </c>
      <c r="G90">
        <v>1</v>
      </c>
      <c r="H90">
        <v>1</v>
      </c>
      <c r="I90" t="s">
        <v>453</v>
      </c>
      <c r="J90" t="s">
        <v>3</v>
      </c>
      <c r="K90" t="s">
        <v>454</v>
      </c>
      <c r="L90">
        <v>1476</v>
      </c>
      <c r="N90">
        <v>1013</v>
      </c>
      <c r="O90" t="s">
        <v>447</v>
      </c>
      <c r="P90" t="s">
        <v>448</v>
      </c>
      <c r="Q90">
        <v>1</v>
      </c>
      <c r="W90">
        <v>0</v>
      </c>
      <c r="X90">
        <v>1809359306</v>
      </c>
      <c r="Y90">
        <v>177.1</v>
      </c>
      <c r="AA90">
        <v>0</v>
      </c>
      <c r="AB90">
        <v>0</v>
      </c>
      <c r="AC90">
        <v>0</v>
      </c>
      <c r="AD90">
        <v>6.35</v>
      </c>
      <c r="AE90">
        <v>0</v>
      </c>
      <c r="AF90">
        <v>0</v>
      </c>
      <c r="AG90">
        <v>0</v>
      </c>
      <c r="AH90">
        <v>6.35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154</v>
      </c>
      <c r="AU90" t="s">
        <v>12</v>
      </c>
      <c r="AV90">
        <v>1</v>
      </c>
      <c r="AW90">
        <v>2</v>
      </c>
      <c r="AX90">
        <v>50211803</v>
      </c>
      <c r="AY90">
        <v>1</v>
      </c>
      <c r="AZ90">
        <v>0</v>
      </c>
      <c r="BA90">
        <v>89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Y90*Source!I163</f>
        <v>68.697090000000003</v>
      </c>
      <c r="CY90">
        <f>AD90</f>
        <v>6.35</v>
      </c>
      <c r="CZ90">
        <f>AH90</f>
        <v>6.35</v>
      </c>
      <c r="DA90">
        <f>AL90</f>
        <v>1</v>
      </c>
      <c r="DB90">
        <f>ROUND((ROUND(AT90*CZ90,2)*1.15),1)</f>
        <v>1124.5999999999999</v>
      </c>
      <c r="DC90">
        <f>ROUND((ROUND(AT90*AG90,2)*1.15),1)</f>
        <v>0</v>
      </c>
    </row>
    <row r="91" spans="1:107" x14ac:dyDescent="0.2">
      <c r="A91">
        <f>ROW(Source!A164)</f>
        <v>164</v>
      </c>
      <c r="B91">
        <v>50210945</v>
      </c>
      <c r="C91">
        <v>50211804</v>
      </c>
      <c r="D91">
        <v>45978326</v>
      </c>
      <c r="E91">
        <v>1</v>
      </c>
      <c r="F91">
        <v>1</v>
      </c>
      <c r="G91">
        <v>1</v>
      </c>
      <c r="H91">
        <v>1</v>
      </c>
      <c r="I91" t="s">
        <v>507</v>
      </c>
      <c r="J91" t="s">
        <v>3</v>
      </c>
      <c r="K91" t="s">
        <v>508</v>
      </c>
      <c r="L91">
        <v>1476</v>
      </c>
      <c r="N91">
        <v>1013</v>
      </c>
      <c r="O91" t="s">
        <v>447</v>
      </c>
      <c r="P91" t="s">
        <v>448</v>
      </c>
      <c r="Q91">
        <v>1</v>
      </c>
      <c r="W91">
        <v>0</v>
      </c>
      <c r="X91">
        <v>2017347174</v>
      </c>
      <c r="Y91">
        <v>27.8185</v>
      </c>
      <c r="AA91">
        <v>0</v>
      </c>
      <c r="AB91">
        <v>0</v>
      </c>
      <c r="AC91">
        <v>0</v>
      </c>
      <c r="AD91">
        <v>6.58</v>
      </c>
      <c r="AE91">
        <v>0</v>
      </c>
      <c r="AF91">
        <v>0</v>
      </c>
      <c r="AG91">
        <v>0</v>
      </c>
      <c r="AH91">
        <v>6.58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24.19</v>
      </c>
      <c r="AU91" t="s">
        <v>12</v>
      </c>
      <c r="AV91">
        <v>1</v>
      </c>
      <c r="AW91">
        <v>2</v>
      </c>
      <c r="AX91">
        <v>50211814</v>
      </c>
      <c r="AY91">
        <v>1</v>
      </c>
      <c r="AZ91">
        <v>0</v>
      </c>
      <c r="BA91">
        <v>90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Y91*Source!I164</f>
        <v>2.1587156000000003</v>
      </c>
      <c r="CY91">
        <f>AD91</f>
        <v>6.58</v>
      </c>
      <c r="CZ91">
        <f>AH91</f>
        <v>6.58</v>
      </c>
      <c r="DA91">
        <f>AL91</f>
        <v>1</v>
      </c>
      <c r="DB91">
        <f>ROUND((ROUND(AT91*CZ91,2)*1.15),1)</f>
        <v>183</v>
      </c>
      <c r="DC91">
        <f>ROUND((ROUND(AT91*AG91,2)*1.15),1)</f>
        <v>0</v>
      </c>
    </row>
    <row r="92" spans="1:107" x14ac:dyDescent="0.2">
      <c r="A92">
        <f>ROW(Source!A164)</f>
        <v>164</v>
      </c>
      <c r="B92">
        <v>50210945</v>
      </c>
      <c r="C92">
        <v>50211804</v>
      </c>
      <c r="D92">
        <v>121548</v>
      </c>
      <c r="E92">
        <v>1</v>
      </c>
      <c r="F92">
        <v>1</v>
      </c>
      <c r="G92">
        <v>1</v>
      </c>
      <c r="H92">
        <v>1</v>
      </c>
      <c r="I92" t="s">
        <v>25</v>
      </c>
      <c r="J92" t="s">
        <v>3</v>
      </c>
      <c r="K92" t="s">
        <v>463</v>
      </c>
      <c r="L92">
        <v>608254</v>
      </c>
      <c r="N92">
        <v>1013</v>
      </c>
      <c r="O92" t="s">
        <v>464</v>
      </c>
      <c r="P92" t="s">
        <v>464</v>
      </c>
      <c r="Q92">
        <v>1</v>
      </c>
      <c r="W92">
        <v>0</v>
      </c>
      <c r="X92">
        <v>-185737400</v>
      </c>
      <c r="Y92">
        <v>25.75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20.6</v>
      </c>
      <c r="AU92" t="s">
        <v>11</v>
      </c>
      <c r="AV92">
        <v>2</v>
      </c>
      <c r="AW92">
        <v>2</v>
      </c>
      <c r="AX92">
        <v>50211815</v>
      </c>
      <c r="AY92">
        <v>1</v>
      </c>
      <c r="AZ92">
        <v>0</v>
      </c>
      <c r="BA92">
        <v>91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Y92*Source!I164</f>
        <v>1.9982</v>
      </c>
      <c r="CY92">
        <f>AD92</f>
        <v>0</v>
      </c>
      <c r="CZ92">
        <f>AH92</f>
        <v>0</v>
      </c>
      <c r="DA92">
        <f>AL92</f>
        <v>1</v>
      </c>
      <c r="DB92">
        <f t="shared" ref="DB92:DB97" si="18">ROUND((ROUND(AT92*CZ92,2)*1.25),1)</f>
        <v>0</v>
      </c>
      <c r="DC92">
        <f t="shared" ref="DC92:DC97" si="19">ROUND((ROUND(AT92*AG92,2)*1.25),1)</f>
        <v>0</v>
      </c>
    </row>
    <row r="93" spans="1:107" x14ac:dyDescent="0.2">
      <c r="A93">
        <f>ROW(Source!A164)</f>
        <v>164</v>
      </c>
      <c r="B93">
        <v>50210945</v>
      </c>
      <c r="C93">
        <v>50211804</v>
      </c>
      <c r="D93">
        <v>45811426</v>
      </c>
      <c r="E93">
        <v>1</v>
      </c>
      <c r="F93">
        <v>1</v>
      </c>
      <c r="G93">
        <v>1</v>
      </c>
      <c r="H93">
        <v>2</v>
      </c>
      <c r="I93" t="s">
        <v>498</v>
      </c>
      <c r="J93" t="s">
        <v>499</v>
      </c>
      <c r="K93" t="s">
        <v>500</v>
      </c>
      <c r="L93">
        <v>45811227</v>
      </c>
      <c r="N93">
        <v>1013</v>
      </c>
      <c r="O93" t="s">
        <v>452</v>
      </c>
      <c r="P93" t="s">
        <v>452</v>
      </c>
      <c r="Q93">
        <v>1</v>
      </c>
      <c r="W93">
        <v>0</v>
      </c>
      <c r="X93">
        <v>-1615317198</v>
      </c>
      <c r="Y93">
        <v>3.0750000000000002</v>
      </c>
      <c r="AA93">
        <v>0</v>
      </c>
      <c r="AB93">
        <v>89.81</v>
      </c>
      <c r="AC93">
        <v>9.8800000000000008</v>
      </c>
      <c r="AD93">
        <v>0</v>
      </c>
      <c r="AE93">
        <v>0</v>
      </c>
      <c r="AF93">
        <v>89.81</v>
      </c>
      <c r="AG93">
        <v>9.8800000000000008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2.46</v>
      </c>
      <c r="AU93" t="s">
        <v>11</v>
      </c>
      <c r="AV93">
        <v>0</v>
      </c>
      <c r="AW93">
        <v>2</v>
      </c>
      <c r="AX93">
        <v>50211816</v>
      </c>
      <c r="AY93">
        <v>1</v>
      </c>
      <c r="AZ93">
        <v>0</v>
      </c>
      <c r="BA93">
        <v>92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Y93*Source!I164</f>
        <v>0.23862000000000003</v>
      </c>
      <c r="CY93">
        <f>AB93</f>
        <v>89.81</v>
      </c>
      <c r="CZ93">
        <f>AF93</f>
        <v>89.81</v>
      </c>
      <c r="DA93">
        <f>AJ93</f>
        <v>1</v>
      </c>
      <c r="DB93">
        <f t="shared" si="18"/>
        <v>276.2</v>
      </c>
      <c r="DC93">
        <f t="shared" si="19"/>
        <v>30.4</v>
      </c>
    </row>
    <row r="94" spans="1:107" x14ac:dyDescent="0.2">
      <c r="A94">
        <f>ROW(Source!A164)</f>
        <v>164</v>
      </c>
      <c r="B94">
        <v>50210945</v>
      </c>
      <c r="C94">
        <v>50211804</v>
      </c>
      <c r="D94">
        <v>45811709</v>
      </c>
      <c r="E94">
        <v>1</v>
      </c>
      <c r="F94">
        <v>1</v>
      </c>
      <c r="G94">
        <v>1</v>
      </c>
      <c r="H94">
        <v>2</v>
      </c>
      <c r="I94" t="s">
        <v>468</v>
      </c>
      <c r="J94" t="s">
        <v>469</v>
      </c>
      <c r="K94" t="s">
        <v>470</v>
      </c>
      <c r="L94">
        <v>45811227</v>
      </c>
      <c r="N94">
        <v>1013</v>
      </c>
      <c r="O94" t="s">
        <v>452</v>
      </c>
      <c r="P94" t="s">
        <v>452</v>
      </c>
      <c r="Q94">
        <v>1</v>
      </c>
      <c r="W94">
        <v>0</v>
      </c>
      <c r="X94">
        <v>-1764643830</v>
      </c>
      <c r="Y94">
        <v>3.2374999999999998</v>
      </c>
      <c r="AA94">
        <v>0</v>
      </c>
      <c r="AB94">
        <v>79.75</v>
      </c>
      <c r="AC94">
        <v>13.26</v>
      </c>
      <c r="AD94">
        <v>0</v>
      </c>
      <c r="AE94">
        <v>0</v>
      </c>
      <c r="AF94">
        <v>79.75</v>
      </c>
      <c r="AG94">
        <v>13.26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2.59</v>
      </c>
      <c r="AU94" t="s">
        <v>11</v>
      </c>
      <c r="AV94">
        <v>0</v>
      </c>
      <c r="AW94">
        <v>2</v>
      </c>
      <c r="AX94">
        <v>50211817</v>
      </c>
      <c r="AY94">
        <v>1</v>
      </c>
      <c r="AZ94">
        <v>0</v>
      </c>
      <c r="BA94">
        <v>93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Y94*Source!I164</f>
        <v>0.25123000000000001</v>
      </c>
      <c r="CY94">
        <f>AB94</f>
        <v>79.75</v>
      </c>
      <c r="CZ94">
        <f>AF94</f>
        <v>79.75</v>
      </c>
      <c r="DA94">
        <f>AJ94</f>
        <v>1</v>
      </c>
      <c r="DB94">
        <f t="shared" si="18"/>
        <v>258.2</v>
      </c>
      <c r="DC94">
        <f t="shared" si="19"/>
        <v>42.9</v>
      </c>
    </row>
    <row r="95" spans="1:107" x14ac:dyDescent="0.2">
      <c r="A95">
        <f>ROW(Source!A164)</f>
        <v>164</v>
      </c>
      <c r="B95">
        <v>50210945</v>
      </c>
      <c r="C95">
        <v>50211804</v>
      </c>
      <c r="D95">
        <v>45811921</v>
      </c>
      <c r="E95">
        <v>1</v>
      </c>
      <c r="F95">
        <v>1</v>
      </c>
      <c r="G95">
        <v>1</v>
      </c>
      <c r="H95">
        <v>2</v>
      </c>
      <c r="I95" t="s">
        <v>501</v>
      </c>
      <c r="J95" t="s">
        <v>502</v>
      </c>
      <c r="K95" t="s">
        <v>503</v>
      </c>
      <c r="L95">
        <v>45811227</v>
      </c>
      <c r="N95">
        <v>1013</v>
      </c>
      <c r="O95" t="s">
        <v>452</v>
      </c>
      <c r="P95" t="s">
        <v>452</v>
      </c>
      <c r="Q95">
        <v>1</v>
      </c>
      <c r="W95">
        <v>0</v>
      </c>
      <c r="X95">
        <v>-1104063720</v>
      </c>
      <c r="Y95">
        <v>2.875</v>
      </c>
      <c r="AA95">
        <v>0</v>
      </c>
      <c r="AB95">
        <v>122.76</v>
      </c>
      <c r="AC95">
        <v>13.26</v>
      </c>
      <c r="AD95">
        <v>0</v>
      </c>
      <c r="AE95">
        <v>0</v>
      </c>
      <c r="AF95">
        <v>122.76</v>
      </c>
      <c r="AG95">
        <v>13.26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2.2999999999999998</v>
      </c>
      <c r="AU95" t="s">
        <v>11</v>
      </c>
      <c r="AV95">
        <v>0</v>
      </c>
      <c r="AW95">
        <v>2</v>
      </c>
      <c r="AX95">
        <v>50211818</v>
      </c>
      <c r="AY95">
        <v>1</v>
      </c>
      <c r="AZ95">
        <v>0</v>
      </c>
      <c r="BA95">
        <v>94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Y95*Source!I164</f>
        <v>0.22310000000000002</v>
      </c>
      <c r="CY95">
        <f>AB95</f>
        <v>122.76</v>
      </c>
      <c r="CZ95">
        <f>AF95</f>
        <v>122.76</v>
      </c>
      <c r="DA95">
        <f>AJ95</f>
        <v>1</v>
      </c>
      <c r="DB95">
        <f t="shared" si="18"/>
        <v>352.9</v>
      </c>
      <c r="DC95">
        <f t="shared" si="19"/>
        <v>38.1</v>
      </c>
    </row>
    <row r="96" spans="1:107" x14ac:dyDescent="0.2">
      <c r="A96">
        <f>ROW(Source!A164)</f>
        <v>164</v>
      </c>
      <c r="B96">
        <v>50210945</v>
      </c>
      <c r="C96">
        <v>50211804</v>
      </c>
      <c r="D96">
        <v>45811951</v>
      </c>
      <c r="E96">
        <v>1</v>
      </c>
      <c r="F96">
        <v>1</v>
      </c>
      <c r="G96">
        <v>1</v>
      </c>
      <c r="H96">
        <v>2</v>
      </c>
      <c r="I96" t="s">
        <v>504</v>
      </c>
      <c r="J96" t="s">
        <v>505</v>
      </c>
      <c r="K96" t="s">
        <v>506</v>
      </c>
      <c r="L96">
        <v>45811227</v>
      </c>
      <c r="N96">
        <v>1013</v>
      </c>
      <c r="O96" t="s">
        <v>452</v>
      </c>
      <c r="P96" t="s">
        <v>452</v>
      </c>
      <c r="Q96">
        <v>1</v>
      </c>
      <c r="W96">
        <v>0</v>
      </c>
      <c r="X96">
        <v>1987113411</v>
      </c>
      <c r="Y96">
        <v>15.262500000000001</v>
      </c>
      <c r="AA96">
        <v>0</v>
      </c>
      <c r="AB96">
        <v>205.75</v>
      </c>
      <c r="AC96">
        <v>14.14</v>
      </c>
      <c r="AD96">
        <v>0</v>
      </c>
      <c r="AE96">
        <v>0</v>
      </c>
      <c r="AF96">
        <v>205.75</v>
      </c>
      <c r="AG96">
        <v>14.14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12.21</v>
      </c>
      <c r="AU96" t="s">
        <v>11</v>
      </c>
      <c r="AV96">
        <v>0</v>
      </c>
      <c r="AW96">
        <v>2</v>
      </c>
      <c r="AX96">
        <v>50211819</v>
      </c>
      <c r="AY96">
        <v>1</v>
      </c>
      <c r="AZ96">
        <v>0</v>
      </c>
      <c r="BA96">
        <v>95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Y96*Source!I164</f>
        <v>1.1843700000000001</v>
      </c>
      <c r="CY96">
        <f>AB96</f>
        <v>205.75</v>
      </c>
      <c r="CZ96">
        <f>AF96</f>
        <v>205.75</v>
      </c>
      <c r="DA96">
        <f>AJ96</f>
        <v>1</v>
      </c>
      <c r="DB96">
        <f t="shared" si="18"/>
        <v>3140.3</v>
      </c>
      <c r="DC96">
        <f t="shared" si="19"/>
        <v>215.8</v>
      </c>
    </row>
    <row r="97" spans="1:107" x14ac:dyDescent="0.2">
      <c r="A97">
        <f>ROW(Source!A164)</f>
        <v>164</v>
      </c>
      <c r="B97">
        <v>50210945</v>
      </c>
      <c r="C97">
        <v>50211804</v>
      </c>
      <c r="D97">
        <v>45812009</v>
      </c>
      <c r="E97">
        <v>1</v>
      </c>
      <c r="F97">
        <v>1</v>
      </c>
      <c r="G97">
        <v>1</v>
      </c>
      <c r="H97">
        <v>2</v>
      </c>
      <c r="I97" t="s">
        <v>479</v>
      </c>
      <c r="J97" t="s">
        <v>480</v>
      </c>
      <c r="K97" t="s">
        <v>481</v>
      </c>
      <c r="L97">
        <v>45811227</v>
      </c>
      <c r="N97">
        <v>1013</v>
      </c>
      <c r="O97" t="s">
        <v>452</v>
      </c>
      <c r="P97" t="s">
        <v>452</v>
      </c>
      <c r="Q97">
        <v>1</v>
      </c>
      <c r="W97">
        <v>0</v>
      </c>
      <c r="X97">
        <v>-1075265446</v>
      </c>
      <c r="Y97">
        <v>1.3</v>
      </c>
      <c r="AA97">
        <v>0</v>
      </c>
      <c r="AB97">
        <v>110</v>
      </c>
      <c r="AC97">
        <v>11.38</v>
      </c>
      <c r="AD97">
        <v>0</v>
      </c>
      <c r="AE97">
        <v>0</v>
      </c>
      <c r="AF97">
        <v>110</v>
      </c>
      <c r="AG97">
        <v>11.38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1.04</v>
      </c>
      <c r="AU97" t="s">
        <v>11</v>
      </c>
      <c r="AV97">
        <v>0</v>
      </c>
      <c r="AW97">
        <v>2</v>
      </c>
      <c r="AX97">
        <v>50211820</v>
      </c>
      <c r="AY97">
        <v>1</v>
      </c>
      <c r="AZ97">
        <v>0</v>
      </c>
      <c r="BA97">
        <v>96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Y97*Source!I164</f>
        <v>0.10088000000000001</v>
      </c>
      <c r="CY97">
        <f>AB97</f>
        <v>110</v>
      </c>
      <c r="CZ97">
        <f>AF97</f>
        <v>110</v>
      </c>
      <c r="DA97">
        <f>AJ97</f>
        <v>1</v>
      </c>
      <c r="DB97">
        <f t="shared" si="18"/>
        <v>143</v>
      </c>
      <c r="DC97">
        <f t="shared" si="19"/>
        <v>14.8</v>
      </c>
    </row>
    <row r="98" spans="1:107" x14ac:dyDescent="0.2">
      <c r="A98">
        <f>ROW(Source!A164)</f>
        <v>164</v>
      </c>
      <c r="B98">
        <v>50210945</v>
      </c>
      <c r="C98">
        <v>50211804</v>
      </c>
      <c r="D98">
        <v>45864857</v>
      </c>
      <c r="E98">
        <v>1</v>
      </c>
      <c r="F98">
        <v>1</v>
      </c>
      <c r="G98">
        <v>1</v>
      </c>
      <c r="H98">
        <v>3</v>
      </c>
      <c r="I98" t="s">
        <v>160</v>
      </c>
      <c r="J98" t="s">
        <v>162</v>
      </c>
      <c r="K98" t="s">
        <v>161</v>
      </c>
      <c r="L98">
        <v>1339</v>
      </c>
      <c r="N98">
        <v>1007</v>
      </c>
      <c r="O98" t="s">
        <v>153</v>
      </c>
      <c r="P98" t="s">
        <v>153</v>
      </c>
      <c r="Q98">
        <v>1</v>
      </c>
      <c r="W98">
        <v>0</v>
      </c>
      <c r="X98">
        <v>1276216311</v>
      </c>
      <c r="Y98">
        <v>126</v>
      </c>
      <c r="AA98">
        <v>127.2</v>
      </c>
      <c r="AB98">
        <v>0</v>
      </c>
      <c r="AC98">
        <v>0</v>
      </c>
      <c r="AD98">
        <v>0</v>
      </c>
      <c r="AE98">
        <v>127.2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1</v>
      </c>
      <c r="AO98">
        <v>0</v>
      </c>
      <c r="AP98">
        <v>0</v>
      </c>
      <c r="AQ98">
        <v>0</v>
      </c>
      <c r="AR98">
        <v>0</v>
      </c>
      <c r="AS98" t="s">
        <v>3</v>
      </c>
      <c r="AT98">
        <v>126</v>
      </c>
      <c r="AU98" t="s">
        <v>3</v>
      </c>
      <c r="AV98">
        <v>0</v>
      </c>
      <c r="AW98">
        <v>1</v>
      </c>
      <c r="AX98">
        <v>-1</v>
      </c>
      <c r="AY98">
        <v>0</v>
      </c>
      <c r="AZ98">
        <v>0</v>
      </c>
      <c r="BA98" t="s">
        <v>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Y98*Source!I164</f>
        <v>9.7775999999999996</v>
      </c>
      <c r="CY98">
        <f>AA98</f>
        <v>127.2</v>
      </c>
      <c r="CZ98">
        <f>AE98</f>
        <v>127.2</v>
      </c>
      <c r="DA98">
        <f>AI98</f>
        <v>1</v>
      </c>
      <c r="DB98">
        <f>ROUND(ROUND(AT98*CZ98,2),1)</f>
        <v>16027.2</v>
      </c>
      <c r="DC98">
        <f>ROUND(ROUND(AT98*AG98,2),1)</f>
        <v>0</v>
      </c>
    </row>
    <row r="99" spans="1:107" x14ac:dyDescent="0.2">
      <c r="A99">
        <f>ROW(Source!A164)</f>
        <v>164</v>
      </c>
      <c r="B99">
        <v>50210945</v>
      </c>
      <c r="C99">
        <v>50211804</v>
      </c>
      <c r="D99">
        <v>45865353</v>
      </c>
      <c r="E99">
        <v>1</v>
      </c>
      <c r="F99">
        <v>1</v>
      </c>
      <c r="G99">
        <v>1</v>
      </c>
      <c r="H99">
        <v>3</v>
      </c>
      <c r="I99" t="s">
        <v>488</v>
      </c>
      <c r="J99" t="s">
        <v>489</v>
      </c>
      <c r="K99" t="s">
        <v>490</v>
      </c>
      <c r="L99">
        <v>1339</v>
      </c>
      <c r="N99">
        <v>1007</v>
      </c>
      <c r="O99" t="s">
        <v>153</v>
      </c>
      <c r="P99" t="s">
        <v>153</v>
      </c>
      <c r="Q99">
        <v>1</v>
      </c>
      <c r="W99">
        <v>0</v>
      </c>
      <c r="X99">
        <v>-1025641989</v>
      </c>
      <c r="Y99">
        <v>7</v>
      </c>
      <c r="AA99">
        <v>2.2599999999999998</v>
      </c>
      <c r="AB99">
        <v>0</v>
      </c>
      <c r="AC99">
        <v>0</v>
      </c>
      <c r="AD99">
        <v>0</v>
      </c>
      <c r="AE99">
        <v>2.2599999999999998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7</v>
      </c>
      <c r="AU99" t="s">
        <v>3</v>
      </c>
      <c r="AV99">
        <v>0</v>
      </c>
      <c r="AW99">
        <v>2</v>
      </c>
      <c r="AX99">
        <v>50211822</v>
      </c>
      <c r="AY99">
        <v>1</v>
      </c>
      <c r="AZ99">
        <v>0</v>
      </c>
      <c r="BA99">
        <v>98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Y99*Source!I164</f>
        <v>0.54320000000000002</v>
      </c>
      <c r="CY99">
        <f>AA99</f>
        <v>2.2599999999999998</v>
      </c>
      <c r="CZ99">
        <f>AE99</f>
        <v>2.2599999999999998</v>
      </c>
      <c r="DA99">
        <f>AI99</f>
        <v>1</v>
      </c>
      <c r="DB99">
        <f>ROUND(ROUND(AT99*CZ99,2),1)</f>
        <v>15.8</v>
      </c>
      <c r="DC99">
        <f>ROUND(ROUND(AT99*AG99,2),1)</f>
        <v>0</v>
      </c>
    </row>
    <row r="100" spans="1:107" x14ac:dyDescent="0.2">
      <c r="A100">
        <f>ROW(Source!A166)</f>
        <v>166</v>
      </c>
      <c r="B100">
        <v>50210945</v>
      </c>
      <c r="C100">
        <v>50211824</v>
      </c>
      <c r="D100">
        <v>45976914</v>
      </c>
      <c r="E100">
        <v>1</v>
      </c>
      <c r="F100">
        <v>1</v>
      </c>
      <c r="G100">
        <v>1</v>
      </c>
      <c r="H100">
        <v>1</v>
      </c>
      <c r="I100" t="s">
        <v>474</v>
      </c>
      <c r="J100" t="s">
        <v>3</v>
      </c>
      <c r="K100" t="s">
        <v>475</v>
      </c>
      <c r="L100">
        <v>1476</v>
      </c>
      <c r="N100">
        <v>1013</v>
      </c>
      <c r="O100" t="s">
        <v>447</v>
      </c>
      <c r="P100" t="s">
        <v>448</v>
      </c>
      <c r="Q100">
        <v>1</v>
      </c>
      <c r="W100">
        <v>0</v>
      </c>
      <c r="X100">
        <v>1477335111</v>
      </c>
      <c r="Y100">
        <v>87.49199999999999</v>
      </c>
      <c r="AA100">
        <v>0</v>
      </c>
      <c r="AB100">
        <v>0</v>
      </c>
      <c r="AC100">
        <v>0</v>
      </c>
      <c r="AD100">
        <v>6.88</v>
      </c>
      <c r="AE100">
        <v>0</v>
      </c>
      <c r="AF100">
        <v>0</v>
      </c>
      <c r="AG100">
        <v>0</v>
      </c>
      <c r="AH100">
        <v>6.88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76.08</v>
      </c>
      <c r="AU100" t="s">
        <v>12</v>
      </c>
      <c r="AV100">
        <v>1</v>
      </c>
      <c r="AW100">
        <v>2</v>
      </c>
      <c r="AX100">
        <v>50211834</v>
      </c>
      <c r="AY100">
        <v>1</v>
      </c>
      <c r="AZ100">
        <v>0</v>
      </c>
      <c r="BA100">
        <v>99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Y100*Source!I166</f>
        <v>377.09051999999991</v>
      </c>
      <c r="CY100">
        <f>AD100</f>
        <v>6.88</v>
      </c>
      <c r="CZ100">
        <f>AH100</f>
        <v>6.88</v>
      </c>
      <c r="DA100">
        <f>AL100</f>
        <v>1</v>
      </c>
      <c r="DB100">
        <f>ROUND((ROUND(AT100*CZ100,2)*1.15),1)</f>
        <v>601.9</v>
      </c>
      <c r="DC100">
        <f>ROUND((ROUND(AT100*AG100,2)*1.15),1)</f>
        <v>0</v>
      </c>
    </row>
    <row r="101" spans="1:107" x14ac:dyDescent="0.2">
      <c r="A101">
        <f>ROW(Source!A166)</f>
        <v>166</v>
      </c>
      <c r="B101">
        <v>50210945</v>
      </c>
      <c r="C101">
        <v>50211824</v>
      </c>
      <c r="D101">
        <v>121548</v>
      </c>
      <c r="E101">
        <v>1</v>
      </c>
      <c r="F101">
        <v>1</v>
      </c>
      <c r="G101">
        <v>1</v>
      </c>
      <c r="H101">
        <v>1</v>
      </c>
      <c r="I101" t="s">
        <v>25</v>
      </c>
      <c r="J101" t="s">
        <v>3</v>
      </c>
      <c r="K101" t="s">
        <v>463</v>
      </c>
      <c r="L101">
        <v>608254</v>
      </c>
      <c r="N101">
        <v>1013</v>
      </c>
      <c r="O101" t="s">
        <v>464</v>
      </c>
      <c r="P101" t="s">
        <v>464</v>
      </c>
      <c r="Q101">
        <v>1</v>
      </c>
      <c r="W101">
        <v>0</v>
      </c>
      <c r="X101">
        <v>-185737400</v>
      </c>
      <c r="Y101">
        <v>0.85000000000000009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0.68</v>
      </c>
      <c r="AU101" t="s">
        <v>11</v>
      </c>
      <c r="AV101">
        <v>2</v>
      </c>
      <c r="AW101">
        <v>2</v>
      </c>
      <c r="AX101">
        <v>50211835</v>
      </c>
      <c r="AY101">
        <v>1</v>
      </c>
      <c r="AZ101">
        <v>0</v>
      </c>
      <c r="BA101">
        <v>100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Y101*Source!I166</f>
        <v>3.6635</v>
      </c>
      <c r="CY101">
        <f>AD101</f>
        <v>0</v>
      </c>
      <c r="CZ101">
        <f>AH101</f>
        <v>0</v>
      </c>
      <c r="DA101">
        <f>AL101</f>
        <v>1</v>
      </c>
      <c r="DB101">
        <f>ROUND((ROUND(AT101*CZ101,2)*1.25),1)</f>
        <v>0</v>
      </c>
      <c r="DC101">
        <f>ROUND((ROUND(AT101*AG101,2)*1.25),1)</f>
        <v>0</v>
      </c>
    </row>
    <row r="102" spans="1:107" x14ac:dyDescent="0.2">
      <c r="A102">
        <f>ROW(Source!A166)</f>
        <v>166</v>
      </c>
      <c r="B102">
        <v>50210945</v>
      </c>
      <c r="C102">
        <v>50211824</v>
      </c>
      <c r="D102">
        <v>45811353</v>
      </c>
      <c r="E102">
        <v>1</v>
      </c>
      <c r="F102">
        <v>1</v>
      </c>
      <c r="G102">
        <v>1</v>
      </c>
      <c r="H102">
        <v>2</v>
      </c>
      <c r="I102" t="s">
        <v>517</v>
      </c>
      <c r="J102" t="s">
        <v>518</v>
      </c>
      <c r="K102" t="s">
        <v>519</v>
      </c>
      <c r="L102">
        <v>45811227</v>
      </c>
      <c r="N102">
        <v>1013</v>
      </c>
      <c r="O102" t="s">
        <v>452</v>
      </c>
      <c r="P102" t="s">
        <v>452</v>
      </c>
      <c r="Q102">
        <v>1</v>
      </c>
      <c r="W102">
        <v>0</v>
      </c>
      <c r="X102">
        <v>642700064</v>
      </c>
      <c r="Y102">
        <v>0.85000000000000009</v>
      </c>
      <c r="AA102">
        <v>0</v>
      </c>
      <c r="AB102">
        <v>111.75</v>
      </c>
      <c r="AC102">
        <v>13.26</v>
      </c>
      <c r="AD102">
        <v>0</v>
      </c>
      <c r="AE102">
        <v>0</v>
      </c>
      <c r="AF102">
        <v>111.75</v>
      </c>
      <c r="AG102">
        <v>13.26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0.68</v>
      </c>
      <c r="AU102" t="s">
        <v>11</v>
      </c>
      <c r="AV102">
        <v>0</v>
      </c>
      <c r="AW102">
        <v>2</v>
      </c>
      <c r="AX102">
        <v>50211836</v>
      </c>
      <c r="AY102">
        <v>1</v>
      </c>
      <c r="AZ102">
        <v>0</v>
      </c>
      <c r="BA102">
        <v>101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Y102*Source!I166</f>
        <v>3.6635</v>
      </c>
      <c r="CY102">
        <f>AB102</f>
        <v>111.75</v>
      </c>
      <c r="CZ102">
        <f>AF102</f>
        <v>111.75</v>
      </c>
      <c r="DA102">
        <f>AJ102</f>
        <v>1</v>
      </c>
      <c r="DB102">
        <f>ROUND((ROUND(AT102*CZ102,2)*1.25),1)</f>
        <v>95</v>
      </c>
      <c r="DC102">
        <f>ROUND((ROUND(AT102*AG102,2)*1.25),1)</f>
        <v>11.3</v>
      </c>
    </row>
    <row r="103" spans="1:107" x14ac:dyDescent="0.2">
      <c r="A103">
        <f>ROW(Source!A166)</f>
        <v>166</v>
      </c>
      <c r="B103">
        <v>50210945</v>
      </c>
      <c r="C103">
        <v>50211824</v>
      </c>
      <c r="D103">
        <v>45813321</v>
      </c>
      <c r="E103">
        <v>1</v>
      </c>
      <c r="F103">
        <v>1</v>
      </c>
      <c r="G103">
        <v>1</v>
      </c>
      <c r="H103">
        <v>2</v>
      </c>
      <c r="I103" t="s">
        <v>532</v>
      </c>
      <c r="J103" t="s">
        <v>533</v>
      </c>
      <c r="K103" t="s">
        <v>534</v>
      </c>
      <c r="L103">
        <v>45811227</v>
      </c>
      <c r="N103">
        <v>1013</v>
      </c>
      <c r="O103" t="s">
        <v>452</v>
      </c>
      <c r="P103" t="s">
        <v>452</v>
      </c>
      <c r="Q103">
        <v>1</v>
      </c>
      <c r="W103">
        <v>0</v>
      </c>
      <c r="X103">
        <v>771999048</v>
      </c>
      <c r="Y103">
        <v>0.05</v>
      </c>
      <c r="AA103">
        <v>0</v>
      </c>
      <c r="AB103">
        <v>86.55</v>
      </c>
      <c r="AC103">
        <v>0</v>
      </c>
      <c r="AD103">
        <v>0</v>
      </c>
      <c r="AE103">
        <v>0</v>
      </c>
      <c r="AF103">
        <v>86.55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0.04</v>
      </c>
      <c r="AU103" t="s">
        <v>11</v>
      </c>
      <c r="AV103">
        <v>0</v>
      </c>
      <c r="AW103">
        <v>2</v>
      </c>
      <c r="AX103">
        <v>50211837</v>
      </c>
      <c r="AY103">
        <v>1</v>
      </c>
      <c r="AZ103">
        <v>0</v>
      </c>
      <c r="BA103">
        <v>102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Y103*Source!I166</f>
        <v>0.2155</v>
      </c>
      <c r="CY103">
        <f>AB103</f>
        <v>86.55</v>
      </c>
      <c r="CZ103">
        <f>AF103</f>
        <v>86.55</v>
      </c>
      <c r="DA103">
        <f>AJ103</f>
        <v>1</v>
      </c>
      <c r="DB103">
        <f>ROUND((ROUND(AT103*CZ103,2)*1.25),1)</f>
        <v>4.3</v>
      </c>
      <c r="DC103">
        <f>ROUND((ROUND(AT103*AG103,2)*1.25),1)</f>
        <v>0</v>
      </c>
    </row>
    <row r="104" spans="1:107" x14ac:dyDescent="0.2">
      <c r="A104">
        <f>ROW(Source!A166)</f>
        <v>166</v>
      </c>
      <c r="B104">
        <v>50210945</v>
      </c>
      <c r="C104">
        <v>50211824</v>
      </c>
      <c r="D104">
        <v>45816422</v>
      </c>
      <c r="E104">
        <v>1</v>
      </c>
      <c r="F104">
        <v>1</v>
      </c>
      <c r="G104">
        <v>1</v>
      </c>
      <c r="H104">
        <v>3</v>
      </c>
      <c r="I104" t="s">
        <v>550</v>
      </c>
      <c r="J104" t="s">
        <v>551</v>
      </c>
      <c r="K104" t="s">
        <v>552</v>
      </c>
      <c r="L104">
        <v>1348</v>
      </c>
      <c r="N104">
        <v>1009</v>
      </c>
      <c r="O104" t="s">
        <v>190</v>
      </c>
      <c r="P104" t="s">
        <v>190</v>
      </c>
      <c r="Q104">
        <v>1000</v>
      </c>
      <c r="W104">
        <v>0</v>
      </c>
      <c r="X104">
        <v>-1791058657</v>
      </c>
      <c r="Y104">
        <v>1E-3</v>
      </c>
      <c r="AA104">
        <v>10992.4</v>
      </c>
      <c r="AB104">
        <v>0</v>
      </c>
      <c r="AC104">
        <v>0</v>
      </c>
      <c r="AD104">
        <v>0</v>
      </c>
      <c r="AE104">
        <v>10992.4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1E-3</v>
      </c>
      <c r="AU104" t="s">
        <v>3</v>
      </c>
      <c r="AV104">
        <v>0</v>
      </c>
      <c r="AW104">
        <v>2</v>
      </c>
      <c r="AX104">
        <v>50211838</v>
      </c>
      <c r="AY104">
        <v>1</v>
      </c>
      <c r="AZ104">
        <v>0</v>
      </c>
      <c r="BA104">
        <v>103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Y104*Source!I166</f>
        <v>4.3099999999999996E-3</v>
      </c>
      <c r="CY104">
        <f>AA104</f>
        <v>10992.4</v>
      </c>
      <c r="CZ104">
        <f>AE104</f>
        <v>10992.4</v>
      </c>
      <c r="DA104">
        <f>AI104</f>
        <v>1</v>
      </c>
      <c r="DB104">
        <f>ROUND(ROUND(AT104*CZ104,2),1)</f>
        <v>11</v>
      </c>
      <c r="DC104">
        <f>ROUND(ROUND(AT104*AG104,2),1)</f>
        <v>0</v>
      </c>
    </row>
    <row r="105" spans="1:107" x14ac:dyDescent="0.2">
      <c r="A105">
        <f>ROW(Source!A166)</f>
        <v>166</v>
      </c>
      <c r="B105">
        <v>50210945</v>
      </c>
      <c r="C105">
        <v>50211824</v>
      </c>
      <c r="D105">
        <v>45823107</v>
      </c>
      <c r="E105">
        <v>1</v>
      </c>
      <c r="F105">
        <v>1</v>
      </c>
      <c r="G105">
        <v>1</v>
      </c>
      <c r="H105">
        <v>3</v>
      </c>
      <c r="I105" t="s">
        <v>553</v>
      </c>
      <c r="J105" t="s">
        <v>554</v>
      </c>
      <c r="K105" t="s">
        <v>555</v>
      </c>
      <c r="L105">
        <v>1339</v>
      </c>
      <c r="N105">
        <v>1007</v>
      </c>
      <c r="O105" t="s">
        <v>153</v>
      </c>
      <c r="P105" t="s">
        <v>153</v>
      </c>
      <c r="Q105">
        <v>1</v>
      </c>
      <c r="W105">
        <v>0</v>
      </c>
      <c r="X105">
        <v>639836162</v>
      </c>
      <c r="Y105">
        <v>0.17</v>
      </c>
      <c r="AA105">
        <v>813.06</v>
      </c>
      <c r="AB105">
        <v>0</v>
      </c>
      <c r="AC105">
        <v>0</v>
      </c>
      <c r="AD105">
        <v>0</v>
      </c>
      <c r="AE105">
        <v>813.06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0.17</v>
      </c>
      <c r="AU105" t="s">
        <v>3</v>
      </c>
      <c r="AV105">
        <v>0</v>
      </c>
      <c r="AW105">
        <v>2</v>
      </c>
      <c r="AX105">
        <v>50211839</v>
      </c>
      <c r="AY105">
        <v>1</v>
      </c>
      <c r="AZ105">
        <v>0</v>
      </c>
      <c r="BA105">
        <v>104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Y105*Source!I166</f>
        <v>0.73270000000000002</v>
      </c>
      <c r="CY105">
        <f>AA105</f>
        <v>813.06</v>
      </c>
      <c r="CZ105">
        <f>AE105</f>
        <v>813.06</v>
      </c>
      <c r="DA105">
        <f>AI105</f>
        <v>1</v>
      </c>
      <c r="DB105">
        <f>ROUND(ROUND(AT105*CZ105,2),1)</f>
        <v>138.19999999999999</v>
      </c>
      <c r="DC105">
        <f>ROUND(ROUND(AT105*AG105,2),1)</f>
        <v>0</v>
      </c>
    </row>
    <row r="106" spans="1:107" x14ac:dyDescent="0.2">
      <c r="A106">
        <f>ROW(Source!A166)</f>
        <v>166</v>
      </c>
      <c r="B106">
        <v>50210945</v>
      </c>
      <c r="C106">
        <v>50211824</v>
      </c>
      <c r="D106">
        <v>45853218</v>
      </c>
      <c r="E106">
        <v>1</v>
      </c>
      <c r="F106">
        <v>1</v>
      </c>
      <c r="G106">
        <v>1</v>
      </c>
      <c r="H106">
        <v>3</v>
      </c>
      <c r="I106" t="s">
        <v>241</v>
      </c>
      <c r="J106" t="s">
        <v>243</v>
      </c>
      <c r="K106" t="s">
        <v>242</v>
      </c>
      <c r="L106">
        <v>1339</v>
      </c>
      <c r="N106">
        <v>1007</v>
      </c>
      <c r="O106" t="s">
        <v>153</v>
      </c>
      <c r="P106" t="s">
        <v>153</v>
      </c>
      <c r="Q106">
        <v>1</v>
      </c>
      <c r="W106">
        <v>0</v>
      </c>
      <c r="X106">
        <v>-452102078</v>
      </c>
      <c r="Y106">
        <v>5.9</v>
      </c>
      <c r="AA106">
        <v>550.19000000000005</v>
      </c>
      <c r="AB106">
        <v>0</v>
      </c>
      <c r="AC106">
        <v>0</v>
      </c>
      <c r="AD106">
        <v>0</v>
      </c>
      <c r="AE106">
        <v>550.19000000000005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5.9</v>
      </c>
      <c r="AU106" t="s">
        <v>3</v>
      </c>
      <c r="AV106">
        <v>0</v>
      </c>
      <c r="AW106">
        <v>2</v>
      </c>
      <c r="AX106">
        <v>50211840</v>
      </c>
      <c r="AY106">
        <v>1</v>
      </c>
      <c r="AZ106">
        <v>0</v>
      </c>
      <c r="BA106">
        <v>105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Y106*Source!I166</f>
        <v>25.428999999999998</v>
      </c>
      <c r="CY106">
        <f>AA106</f>
        <v>550.19000000000005</v>
      </c>
      <c r="CZ106">
        <f>AE106</f>
        <v>550.19000000000005</v>
      </c>
      <c r="DA106">
        <f>AI106</f>
        <v>1</v>
      </c>
      <c r="DB106">
        <f>ROUND(ROUND(AT106*CZ106,2),1)</f>
        <v>3246.1</v>
      </c>
      <c r="DC106">
        <f>ROUND(ROUND(AT106*AG106,2),1)</f>
        <v>0</v>
      </c>
    </row>
    <row r="107" spans="1:107" x14ac:dyDescent="0.2">
      <c r="A107">
        <f>ROW(Source!A166)</f>
        <v>166</v>
      </c>
      <c r="B107">
        <v>50210945</v>
      </c>
      <c r="C107">
        <v>50211824</v>
      </c>
      <c r="D107">
        <v>45853757</v>
      </c>
      <c r="E107">
        <v>1</v>
      </c>
      <c r="F107">
        <v>1</v>
      </c>
      <c r="G107">
        <v>1</v>
      </c>
      <c r="H107">
        <v>3</v>
      </c>
      <c r="I107" t="s">
        <v>246</v>
      </c>
      <c r="J107" t="s">
        <v>248</v>
      </c>
      <c r="K107" t="s">
        <v>247</v>
      </c>
      <c r="L107">
        <v>1339</v>
      </c>
      <c r="N107">
        <v>1007</v>
      </c>
      <c r="O107" t="s">
        <v>153</v>
      </c>
      <c r="P107" t="s">
        <v>153</v>
      </c>
      <c r="Q107">
        <v>1</v>
      </c>
      <c r="W107">
        <v>0</v>
      </c>
      <c r="X107">
        <v>895118465</v>
      </c>
      <c r="Y107">
        <v>0.06</v>
      </c>
      <c r="AA107">
        <v>484.14</v>
      </c>
      <c r="AB107">
        <v>0</v>
      </c>
      <c r="AC107">
        <v>0</v>
      </c>
      <c r="AD107">
        <v>0</v>
      </c>
      <c r="AE107">
        <v>484.14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0.06</v>
      </c>
      <c r="AU107" t="s">
        <v>3</v>
      </c>
      <c r="AV107">
        <v>0</v>
      </c>
      <c r="AW107">
        <v>2</v>
      </c>
      <c r="AX107">
        <v>50211841</v>
      </c>
      <c r="AY107">
        <v>1</v>
      </c>
      <c r="AZ107">
        <v>0</v>
      </c>
      <c r="BA107">
        <v>106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Y107*Source!I166</f>
        <v>0.25859999999999994</v>
      </c>
      <c r="CY107">
        <f>AA107</f>
        <v>484.14</v>
      </c>
      <c r="CZ107">
        <f>AE107</f>
        <v>484.14</v>
      </c>
      <c r="DA107">
        <f>AI107</f>
        <v>1</v>
      </c>
      <c r="DB107">
        <f>ROUND(ROUND(AT107*CZ107,2),1)</f>
        <v>29.1</v>
      </c>
      <c r="DC107">
        <f>ROUND(ROUND(AT107*AG107,2),1)</f>
        <v>0</v>
      </c>
    </row>
    <row r="108" spans="1:107" x14ac:dyDescent="0.2">
      <c r="A108">
        <f>ROW(Source!A166)</f>
        <v>166</v>
      </c>
      <c r="B108">
        <v>50210945</v>
      </c>
      <c r="C108">
        <v>50211824</v>
      </c>
      <c r="D108">
        <v>45862969</v>
      </c>
      <c r="E108">
        <v>1</v>
      </c>
      <c r="F108">
        <v>1</v>
      </c>
      <c r="G108">
        <v>1</v>
      </c>
      <c r="H108">
        <v>3</v>
      </c>
      <c r="I108" t="s">
        <v>218</v>
      </c>
      <c r="J108" t="s">
        <v>221</v>
      </c>
      <c r="K108" t="s">
        <v>219</v>
      </c>
      <c r="L108">
        <v>1354</v>
      </c>
      <c r="N108">
        <v>1010</v>
      </c>
      <c r="O108" t="s">
        <v>220</v>
      </c>
      <c r="P108" t="s">
        <v>220</v>
      </c>
      <c r="Q108">
        <v>1</v>
      </c>
      <c r="W108">
        <v>0</v>
      </c>
      <c r="X108">
        <v>2131618908</v>
      </c>
      <c r="Y108">
        <v>100</v>
      </c>
      <c r="AA108">
        <v>58.45</v>
      </c>
      <c r="AB108">
        <v>0</v>
      </c>
      <c r="AC108">
        <v>0</v>
      </c>
      <c r="AD108">
        <v>0</v>
      </c>
      <c r="AE108">
        <v>58.45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1</v>
      </c>
      <c r="AO108">
        <v>0</v>
      </c>
      <c r="AP108">
        <v>0</v>
      </c>
      <c r="AQ108">
        <v>0</v>
      </c>
      <c r="AR108">
        <v>0</v>
      </c>
      <c r="AS108" t="s">
        <v>3</v>
      </c>
      <c r="AT108">
        <v>100</v>
      </c>
      <c r="AU108" t="s">
        <v>3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Y108*Source!I166</f>
        <v>430.99999999999994</v>
      </c>
      <c r="CY108">
        <f>AA108</f>
        <v>58.45</v>
      </c>
      <c r="CZ108">
        <f>AE108</f>
        <v>58.45</v>
      </c>
      <c r="DA108">
        <f>AI108</f>
        <v>1</v>
      </c>
      <c r="DB108">
        <f>ROUND(ROUND(AT108*CZ108,2),1)</f>
        <v>5845</v>
      </c>
      <c r="DC108">
        <f>ROUND(ROUND(AT108*AG108,2),1)</f>
        <v>0</v>
      </c>
    </row>
    <row r="109" spans="1:107" x14ac:dyDescent="0.2">
      <c r="A109">
        <f>ROW(Source!A168)</f>
        <v>168</v>
      </c>
      <c r="B109">
        <v>50210945</v>
      </c>
      <c r="C109">
        <v>50211844</v>
      </c>
      <c r="D109">
        <v>45981686</v>
      </c>
      <c r="E109">
        <v>1</v>
      </c>
      <c r="F109">
        <v>1</v>
      </c>
      <c r="G109">
        <v>1</v>
      </c>
      <c r="H109">
        <v>1</v>
      </c>
      <c r="I109" t="s">
        <v>556</v>
      </c>
      <c r="J109" t="s">
        <v>3</v>
      </c>
      <c r="K109" t="s">
        <v>557</v>
      </c>
      <c r="L109">
        <v>1476</v>
      </c>
      <c r="N109">
        <v>1013</v>
      </c>
      <c r="O109" t="s">
        <v>447</v>
      </c>
      <c r="P109" t="s">
        <v>448</v>
      </c>
      <c r="Q109">
        <v>1</v>
      </c>
      <c r="W109">
        <v>0</v>
      </c>
      <c r="X109">
        <v>-1949506561</v>
      </c>
      <c r="Y109">
        <v>101.77499999999999</v>
      </c>
      <c r="AA109">
        <v>0</v>
      </c>
      <c r="AB109">
        <v>0</v>
      </c>
      <c r="AC109">
        <v>0</v>
      </c>
      <c r="AD109">
        <v>6.1</v>
      </c>
      <c r="AE109">
        <v>0</v>
      </c>
      <c r="AF109">
        <v>0</v>
      </c>
      <c r="AG109">
        <v>0</v>
      </c>
      <c r="AH109">
        <v>6.1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88.5</v>
      </c>
      <c r="AU109" t="s">
        <v>12</v>
      </c>
      <c r="AV109">
        <v>1</v>
      </c>
      <c r="AW109">
        <v>2</v>
      </c>
      <c r="AX109">
        <v>50211846</v>
      </c>
      <c r="AY109">
        <v>1</v>
      </c>
      <c r="AZ109">
        <v>0</v>
      </c>
      <c r="BA109">
        <v>108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Y109*Source!I168</f>
        <v>7.8977399999999998</v>
      </c>
      <c r="CY109">
        <f>AD109</f>
        <v>6.1</v>
      </c>
      <c r="CZ109">
        <f>AH109</f>
        <v>6.1</v>
      </c>
      <c r="DA109">
        <f>AL109</f>
        <v>1</v>
      </c>
      <c r="DB109">
        <f>ROUND((ROUND(AT109*CZ109,2)*1.15),1)</f>
        <v>620.79999999999995</v>
      </c>
      <c r="DC109">
        <f>ROUND((ROUND(AT109*AG109,2)*1.15),1)</f>
        <v>0</v>
      </c>
    </row>
    <row r="110" spans="1:107" x14ac:dyDescent="0.2">
      <c r="A110">
        <f>ROW(Source!A206)</f>
        <v>206</v>
      </c>
      <c r="B110">
        <v>50210945</v>
      </c>
      <c r="C110">
        <v>50211849</v>
      </c>
      <c r="D110">
        <v>45975178</v>
      </c>
      <c r="E110">
        <v>1</v>
      </c>
      <c r="F110">
        <v>1</v>
      </c>
      <c r="G110">
        <v>1</v>
      </c>
      <c r="H110">
        <v>1</v>
      </c>
      <c r="I110" t="s">
        <v>453</v>
      </c>
      <c r="J110" t="s">
        <v>3</v>
      </c>
      <c r="K110" t="s">
        <v>454</v>
      </c>
      <c r="L110">
        <v>1476</v>
      </c>
      <c r="N110">
        <v>1013</v>
      </c>
      <c r="O110" t="s">
        <v>447</v>
      </c>
      <c r="P110" t="s">
        <v>448</v>
      </c>
      <c r="Q110">
        <v>1</v>
      </c>
      <c r="W110">
        <v>0</v>
      </c>
      <c r="X110">
        <v>1809359306</v>
      </c>
      <c r="Y110">
        <v>177.1</v>
      </c>
      <c r="AA110">
        <v>0</v>
      </c>
      <c r="AB110">
        <v>0</v>
      </c>
      <c r="AC110">
        <v>0</v>
      </c>
      <c r="AD110">
        <v>6.35</v>
      </c>
      <c r="AE110">
        <v>0</v>
      </c>
      <c r="AF110">
        <v>0</v>
      </c>
      <c r="AG110">
        <v>0</v>
      </c>
      <c r="AH110">
        <v>6.35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154</v>
      </c>
      <c r="AU110" t="s">
        <v>12</v>
      </c>
      <c r="AV110">
        <v>1</v>
      </c>
      <c r="AW110">
        <v>2</v>
      </c>
      <c r="AX110">
        <v>50211851</v>
      </c>
      <c r="AY110">
        <v>1</v>
      </c>
      <c r="AZ110">
        <v>0</v>
      </c>
      <c r="BA110">
        <v>109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Y110*Source!I206</f>
        <v>58.248190000000001</v>
      </c>
      <c r="CY110">
        <f>AD110</f>
        <v>6.35</v>
      </c>
      <c r="CZ110">
        <f>AH110</f>
        <v>6.35</v>
      </c>
      <c r="DA110">
        <f>AL110</f>
        <v>1</v>
      </c>
      <c r="DB110">
        <f>ROUND((ROUND(AT110*CZ110,2)*1.15),1)</f>
        <v>1124.5999999999999</v>
      </c>
      <c r="DC110">
        <f>ROUND((ROUND(AT110*AG110,2)*1.15),1)</f>
        <v>0</v>
      </c>
    </row>
    <row r="111" spans="1:107" x14ac:dyDescent="0.2">
      <c r="A111">
        <f>ROW(Source!A207)</f>
        <v>207</v>
      </c>
      <c r="B111">
        <v>50210945</v>
      </c>
      <c r="C111">
        <v>50211852</v>
      </c>
      <c r="D111">
        <v>45978326</v>
      </c>
      <c r="E111">
        <v>1</v>
      </c>
      <c r="F111">
        <v>1</v>
      </c>
      <c r="G111">
        <v>1</v>
      </c>
      <c r="H111">
        <v>1</v>
      </c>
      <c r="I111" t="s">
        <v>507</v>
      </c>
      <c r="J111" t="s">
        <v>3</v>
      </c>
      <c r="K111" t="s">
        <v>508</v>
      </c>
      <c r="L111">
        <v>1476</v>
      </c>
      <c r="N111">
        <v>1013</v>
      </c>
      <c r="O111" t="s">
        <v>447</v>
      </c>
      <c r="P111" t="s">
        <v>448</v>
      </c>
      <c r="Q111">
        <v>1</v>
      </c>
      <c r="W111">
        <v>0</v>
      </c>
      <c r="X111">
        <v>2017347174</v>
      </c>
      <c r="Y111">
        <v>27.8185</v>
      </c>
      <c r="AA111">
        <v>0</v>
      </c>
      <c r="AB111">
        <v>0</v>
      </c>
      <c r="AC111">
        <v>0</v>
      </c>
      <c r="AD111">
        <v>6.58</v>
      </c>
      <c r="AE111">
        <v>0</v>
      </c>
      <c r="AF111">
        <v>0</v>
      </c>
      <c r="AG111">
        <v>0</v>
      </c>
      <c r="AH111">
        <v>6.58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24.19</v>
      </c>
      <c r="AU111" t="s">
        <v>12</v>
      </c>
      <c r="AV111">
        <v>1</v>
      </c>
      <c r="AW111">
        <v>2</v>
      </c>
      <c r="AX111">
        <v>50211862</v>
      </c>
      <c r="AY111">
        <v>1</v>
      </c>
      <c r="AZ111">
        <v>0</v>
      </c>
      <c r="BA111">
        <v>110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Y111*Source!I207</f>
        <v>0.81230020000000003</v>
      </c>
      <c r="CY111">
        <f>AD111</f>
        <v>6.58</v>
      </c>
      <c r="CZ111">
        <f>AH111</f>
        <v>6.58</v>
      </c>
      <c r="DA111">
        <f>AL111</f>
        <v>1</v>
      </c>
      <c r="DB111">
        <f>ROUND((ROUND(AT111*CZ111,2)*1.15),1)</f>
        <v>183</v>
      </c>
      <c r="DC111">
        <f>ROUND((ROUND(AT111*AG111,2)*1.15),1)</f>
        <v>0</v>
      </c>
    </row>
    <row r="112" spans="1:107" x14ac:dyDescent="0.2">
      <c r="A112">
        <f>ROW(Source!A207)</f>
        <v>207</v>
      </c>
      <c r="B112">
        <v>50210945</v>
      </c>
      <c r="C112">
        <v>50211852</v>
      </c>
      <c r="D112">
        <v>121548</v>
      </c>
      <c r="E112">
        <v>1</v>
      </c>
      <c r="F112">
        <v>1</v>
      </c>
      <c r="G112">
        <v>1</v>
      </c>
      <c r="H112">
        <v>1</v>
      </c>
      <c r="I112" t="s">
        <v>25</v>
      </c>
      <c r="J112" t="s">
        <v>3</v>
      </c>
      <c r="K112" t="s">
        <v>463</v>
      </c>
      <c r="L112">
        <v>608254</v>
      </c>
      <c r="N112">
        <v>1013</v>
      </c>
      <c r="O112" t="s">
        <v>464</v>
      </c>
      <c r="P112" t="s">
        <v>464</v>
      </c>
      <c r="Q112">
        <v>1</v>
      </c>
      <c r="W112">
        <v>0</v>
      </c>
      <c r="X112">
        <v>-185737400</v>
      </c>
      <c r="Y112">
        <v>25.75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20.6</v>
      </c>
      <c r="AU112" t="s">
        <v>11</v>
      </c>
      <c r="AV112">
        <v>2</v>
      </c>
      <c r="AW112">
        <v>2</v>
      </c>
      <c r="AX112">
        <v>50211863</v>
      </c>
      <c r="AY112">
        <v>1</v>
      </c>
      <c r="AZ112">
        <v>0</v>
      </c>
      <c r="BA112">
        <v>111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Y112*Source!I207</f>
        <v>0.75190000000000001</v>
      </c>
      <c r="CY112">
        <f>AD112</f>
        <v>0</v>
      </c>
      <c r="CZ112">
        <f>AH112</f>
        <v>0</v>
      </c>
      <c r="DA112">
        <f>AL112</f>
        <v>1</v>
      </c>
      <c r="DB112">
        <f t="shared" ref="DB112:DB117" si="20">ROUND((ROUND(AT112*CZ112,2)*1.25),1)</f>
        <v>0</v>
      </c>
      <c r="DC112">
        <f t="shared" ref="DC112:DC117" si="21">ROUND((ROUND(AT112*AG112,2)*1.25),1)</f>
        <v>0</v>
      </c>
    </row>
    <row r="113" spans="1:107" x14ac:dyDescent="0.2">
      <c r="A113">
        <f>ROW(Source!A207)</f>
        <v>207</v>
      </c>
      <c r="B113">
        <v>50210945</v>
      </c>
      <c r="C113">
        <v>50211852</v>
      </c>
      <c r="D113">
        <v>45811426</v>
      </c>
      <c r="E113">
        <v>1</v>
      </c>
      <c r="F113">
        <v>1</v>
      </c>
      <c r="G113">
        <v>1</v>
      </c>
      <c r="H113">
        <v>2</v>
      </c>
      <c r="I113" t="s">
        <v>498</v>
      </c>
      <c r="J113" t="s">
        <v>499</v>
      </c>
      <c r="K113" t="s">
        <v>500</v>
      </c>
      <c r="L113">
        <v>45811227</v>
      </c>
      <c r="N113">
        <v>1013</v>
      </c>
      <c r="O113" t="s">
        <v>452</v>
      </c>
      <c r="P113" t="s">
        <v>452</v>
      </c>
      <c r="Q113">
        <v>1</v>
      </c>
      <c r="W113">
        <v>0</v>
      </c>
      <c r="X113">
        <v>-1615317198</v>
      </c>
      <c r="Y113">
        <v>3.0750000000000002</v>
      </c>
      <c r="AA113">
        <v>0</v>
      </c>
      <c r="AB113">
        <v>89.81</v>
      </c>
      <c r="AC113">
        <v>9.8800000000000008</v>
      </c>
      <c r="AD113">
        <v>0</v>
      </c>
      <c r="AE113">
        <v>0</v>
      </c>
      <c r="AF113">
        <v>89.81</v>
      </c>
      <c r="AG113">
        <v>9.8800000000000008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2.46</v>
      </c>
      <c r="AU113" t="s">
        <v>11</v>
      </c>
      <c r="AV113">
        <v>0</v>
      </c>
      <c r="AW113">
        <v>2</v>
      </c>
      <c r="AX113">
        <v>50211864</v>
      </c>
      <c r="AY113">
        <v>1</v>
      </c>
      <c r="AZ113">
        <v>0</v>
      </c>
      <c r="BA113">
        <v>112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Y113*Source!I207</f>
        <v>8.9790000000000009E-2</v>
      </c>
      <c r="CY113">
        <f>AB113</f>
        <v>89.81</v>
      </c>
      <c r="CZ113">
        <f>AF113</f>
        <v>89.81</v>
      </c>
      <c r="DA113">
        <f>AJ113</f>
        <v>1</v>
      </c>
      <c r="DB113">
        <f t="shared" si="20"/>
        <v>276.2</v>
      </c>
      <c r="DC113">
        <f t="shared" si="21"/>
        <v>30.4</v>
      </c>
    </row>
    <row r="114" spans="1:107" x14ac:dyDescent="0.2">
      <c r="A114">
        <f>ROW(Source!A207)</f>
        <v>207</v>
      </c>
      <c r="B114">
        <v>50210945</v>
      </c>
      <c r="C114">
        <v>50211852</v>
      </c>
      <c r="D114">
        <v>45811709</v>
      </c>
      <c r="E114">
        <v>1</v>
      </c>
      <c r="F114">
        <v>1</v>
      </c>
      <c r="G114">
        <v>1</v>
      </c>
      <c r="H114">
        <v>2</v>
      </c>
      <c r="I114" t="s">
        <v>468</v>
      </c>
      <c r="J114" t="s">
        <v>469</v>
      </c>
      <c r="K114" t="s">
        <v>470</v>
      </c>
      <c r="L114">
        <v>45811227</v>
      </c>
      <c r="N114">
        <v>1013</v>
      </c>
      <c r="O114" t="s">
        <v>452</v>
      </c>
      <c r="P114" t="s">
        <v>452</v>
      </c>
      <c r="Q114">
        <v>1</v>
      </c>
      <c r="W114">
        <v>0</v>
      </c>
      <c r="X114">
        <v>-1764643830</v>
      </c>
      <c r="Y114">
        <v>3.2374999999999998</v>
      </c>
      <c r="AA114">
        <v>0</v>
      </c>
      <c r="AB114">
        <v>79.75</v>
      </c>
      <c r="AC114">
        <v>13.26</v>
      </c>
      <c r="AD114">
        <v>0</v>
      </c>
      <c r="AE114">
        <v>0</v>
      </c>
      <c r="AF114">
        <v>79.75</v>
      </c>
      <c r="AG114">
        <v>13.26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2.59</v>
      </c>
      <c r="AU114" t="s">
        <v>11</v>
      </c>
      <c r="AV114">
        <v>0</v>
      </c>
      <c r="AW114">
        <v>2</v>
      </c>
      <c r="AX114">
        <v>50211865</v>
      </c>
      <c r="AY114">
        <v>1</v>
      </c>
      <c r="AZ114">
        <v>0</v>
      </c>
      <c r="BA114">
        <v>113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Y114*Source!I207</f>
        <v>9.4534999999999994E-2</v>
      </c>
      <c r="CY114">
        <f>AB114</f>
        <v>79.75</v>
      </c>
      <c r="CZ114">
        <f>AF114</f>
        <v>79.75</v>
      </c>
      <c r="DA114">
        <f>AJ114</f>
        <v>1</v>
      </c>
      <c r="DB114">
        <f t="shared" si="20"/>
        <v>258.2</v>
      </c>
      <c r="DC114">
        <f t="shared" si="21"/>
        <v>42.9</v>
      </c>
    </row>
    <row r="115" spans="1:107" x14ac:dyDescent="0.2">
      <c r="A115">
        <f>ROW(Source!A207)</f>
        <v>207</v>
      </c>
      <c r="B115">
        <v>50210945</v>
      </c>
      <c r="C115">
        <v>50211852</v>
      </c>
      <c r="D115">
        <v>45811921</v>
      </c>
      <c r="E115">
        <v>1</v>
      </c>
      <c r="F115">
        <v>1</v>
      </c>
      <c r="G115">
        <v>1</v>
      </c>
      <c r="H115">
        <v>2</v>
      </c>
      <c r="I115" t="s">
        <v>501</v>
      </c>
      <c r="J115" t="s">
        <v>502</v>
      </c>
      <c r="K115" t="s">
        <v>503</v>
      </c>
      <c r="L115">
        <v>45811227</v>
      </c>
      <c r="N115">
        <v>1013</v>
      </c>
      <c r="O115" t="s">
        <v>452</v>
      </c>
      <c r="P115" t="s">
        <v>452</v>
      </c>
      <c r="Q115">
        <v>1</v>
      </c>
      <c r="W115">
        <v>0</v>
      </c>
      <c r="X115">
        <v>-1104063720</v>
      </c>
      <c r="Y115">
        <v>2.875</v>
      </c>
      <c r="AA115">
        <v>0</v>
      </c>
      <c r="AB115">
        <v>122.76</v>
      </c>
      <c r="AC115">
        <v>13.26</v>
      </c>
      <c r="AD115">
        <v>0</v>
      </c>
      <c r="AE115">
        <v>0</v>
      </c>
      <c r="AF115">
        <v>122.76</v>
      </c>
      <c r="AG115">
        <v>13.26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2.2999999999999998</v>
      </c>
      <c r="AU115" t="s">
        <v>11</v>
      </c>
      <c r="AV115">
        <v>0</v>
      </c>
      <c r="AW115">
        <v>2</v>
      </c>
      <c r="AX115">
        <v>50211866</v>
      </c>
      <c r="AY115">
        <v>1</v>
      </c>
      <c r="AZ115">
        <v>0</v>
      </c>
      <c r="BA115">
        <v>114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Y115*Source!I207</f>
        <v>8.3949999999999997E-2</v>
      </c>
      <c r="CY115">
        <f>AB115</f>
        <v>122.76</v>
      </c>
      <c r="CZ115">
        <f>AF115</f>
        <v>122.76</v>
      </c>
      <c r="DA115">
        <f>AJ115</f>
        <v>1</v>
      </c>
      <c r="DB115">
        <f t="shared" si="20"/>
        <v>352.9</v>
      </c>
      <c r="DC115">
        <f t="shared" si="21"/>
        <v>38.1</v>
      </c>
    </row>
    <row r="116" spans="1:107" x14ac:dyDescent="0.2">
      <c r="A116">
        <f>ROW(Source!A207)</f>
        <v>207</v>
      </c>
      <c r="B116">
        <v>50210945</v>
      </c>
      <c r="C116">
        <v>50211852</v>
      </c>
      <c r="D116">
        <v>45811951</v>
      </c>
      <c r="E116">
        <v>1</v>
      </c>
      <c r="F116">
        <v>1</v>
      </c>
      <c r="G116">
        <v>1</v>
      </c>
      <c r="H116">
        <v>2</v>
      </c>
      <c r="I116" t="s">
        <v>504</v>
      </c>
      <c r="J116" t="s">
        <v>505</v>
      </c>
      <c r="K116" t="s">
        <v>506</v>
      </c>
      <c r="L116">
        <v>45811227</v>
      </c>
      <c r="N116">
        <v>1013</v>
      </c>
      <c r="O116" t="s">
        <v>452</v>
      </c>
      <c r="P116" t="s">
        <v>452</v>
      </c>
      <c r="Q116">
        <v>1</v>
      </c>
      <c r="W116">
        <v>0</v>
      </c>
      <c r="X116">
        <v>1987113411</v>
      </c>
      <c r="Y116">
        <v>15.262500000000001</v>
      </c>
      <c r="AA116">
        <v>0</v>
      </c>
      <c r="AB116">
        <v>205.75</v>
      </c>
      <c r="AC116">
        <v>14.14</v>
      </c>
      <c r="AD116">
        <v>0</v>
      </c>
      <c r="AE116">
        <v>0</v>
      </c>
      <c r="AF116">
        <v>205.75</v>
      </c>
      <c r="AG116">
        <v>14.14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12.21</v>
      </c>
      <c r="AU116" t="s">
        <v>11</v>
      </c>
      <c r="AV116">
        <v>0</v>
      </c>
      <c r="AW116">
        <v>2</v>
      </c>
      <c r="AX116">
        <v>50211867</v>
      </c>
      <c r="AY116">
        <v>1</v>
      </c>
      <c r="AZ116">
        <v>0</v>
      </c>
      <c r="BA116">
        <v>115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Y116*Source!I207</f>
        <v>0.44566500000000003</v>
      </c>
      <c r="CY116">
        <f>AB116</f>
        <v>205.75</v>
      </c>
      <c r="CZ116">
        <f>AF116</f>
        <v>205.75</v>
      </c>
      <c r="DA116">
        <f>AJ116</f>
        <v>1</v>
      </c>
      <c r="DB116">
        <f t="shared" si="20"/>
        <v>3140.3</v>
      </c>
      <c r="DC116">
        <f t="shared" si="21"/>
        <v>215.8</v>
      </c>
    </row>
    <row r="117" spans="1:107" x14ac:dyDescent="0.2">
      <c r="A117">
        <f>ROW(Source!A207)</f>
        <v>207</v>
      </c>
      <c r="B117">
        <v>50210945</v>
      </c>
      <c r="C117">
        <v>50211852</v>
      </c>
      <c r="D117">
        <v>45812009</v>
      </c>
      <c r="E117">
        <v>1</v>
      </c>
      <c r="F117">
        <v>1</v>
      </c>
      <c r="G117">
        <v>1</v>
      </c>
      <c r="H117">
        <v>2</v>
      </c>
      <c r="I117" t="s">
        <v>479</v>
      </c>
      <c r="J117" t="s">
        <v>480</v>
      </c>
      <c r="K117" t="s">
        <v>481</v>
      </c>
      <c r="L117">
        <v>45811227</v>
      </c>
      <c r="N117">
        <v>1013</v>
      </c>
      <c r="O117" t="s">
        <v>452</v>
      </c>
      <c r="P117" t="s">
        <v>452</v>
      </c>
      <c r="Q117">
        <v>1</v>
      </c>
      <c r="W117">
        <v>0</v>
      </c>
      <c r="X117">
        <v>-1075265446</v>
      </c>
      <c r="Y117">
        <v>1.3</v>
      </c>
      <c r="AA117">
        <v>0</v>
      </c>
      <c r="AB117">
        <v>110</v>
      </c>
      <c r="AC117">
        <v>11.38</v>
      </c>
      <c r="AD117">
        <v>0</v>
      </c>
      <c r="AE117">
        <v>0</v>
      </c>
      <c r="AF117">
        <v>110</v>
      </c>
      <c r="AG117">
        <v>11.38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1.04</v>
      </c>
      <c r="AU117" t="s">
        <v>11</v>
      </c>
      <c r="AV117">
        <v>0</v>
      </c>
      <c r="AW117">
        <v>2</v>
      </c>
      <c r="AX117">
        <v>50211868</v>
      </c>
      <c r="AY117">
        <v>1</v>
      </c>
      <c r="AZ117">
        <v>0</v>
      </c>
      <c r="BA117">
        <v>116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Y117*Source!I207</f>
        <v>3.7960000000000001E-2</v>
      </c>
      <c r="CY117">
        <f>AB117</f>
        <v>110</v>
      </c>
      <c r="CZ117">
        <f>AF117</f>
        <v>110</v>
      </c>
      <c r="DA117">
        <f>AJ117</f>
        <v>1</v>
      </c>
      <c r="DB117">
        <f t="shared" si="20"/>
        <v>143</v>
      </c>
      <c r="DC117">
        <f t="shared" si="21"/>
        <v>14.8</v>
      </c>
    </row>
    <row r="118" spans="1:107" x14ac:dyDescent="0.2">
      <c r="A118">
        <f>ROW(Source!A207)</f>
        <v>207</v>
      </c>
      <c r="B118">
        <v>50210945</v>
      </c>
      <c r="C118">
        <v>50211852</v>
      </c>
      <c r="D118">
        <v>45864857</v>
      </c>
      <c r="E118">
        <v>1</v>
      </c>
      <c r="F118">
        <v>1</v>
      </c>
      <c r="G118">
        <v>1</v>
      </c>
      <c r="H118">
        <v>3</v>
      </c>
      <c r="I118" t="s">
        <v>160</v>
      </c>
      <c r="J118" t="s">
        <v>162</v>
      </c>
      <c r="K118" t="s">
        <v>161</v>
      </c>
      <c r="L118">
        <v>1339</v>
      </c>
      <c r="N118">
        <v>1007</v>
      </c>
      <c r="O118" t="s">
        <v>153</v>
      </c>
      <c r="P118" t="s">
        <v>153</v>
      </c>
      <c r="Q118">
        <v>1</v>
      </c>
      <c r="W118">
        <v>0</v>
      </c>
      <c r="X118">
        <v>1276216311</v>
      </c>
      <c r="Y118">
        <v>126</v>
      </c>
      <c r="AA118">
        <v>127.2</v>
      </c>
      <c r="AB118">
        <v>0</v>
      </c>
      <c r="AC118">
        <v>0</v>
      </c>
      <c r="AD118">
        <v>0</v>
      </c>
      <c r="AE118">
        <v>127.2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1</v>
      </c>
      <c r="AO118">
        <v>0</v>
      </c>
      <c r="AP118">
        <v>0</v>
      </c>
      <c r="AQ118">
        <v>0</v>
      </c>
      <c r="AR118">
        <v>0</v>
      </c>
      <c r="AS118" t="s">
        <v>3</v>
      </c>
      <c r="AT118">
        <v>126</v>
      </c>
      <c r="AU118" t="s">
        <v>3</v>
      </c>
      <c r="AV118">
        <v>0</v>
      </c>
      <c r="AW118">
        <v>1</v>
      </c>
      <c r="AX118">
        <v>-1</v>
      </c>
      <c r="AY118">
        <v>0</v>
      </c>
      <c r="AZ118">
        <v>0</v>
      </c>
      <c r="BA118" t="s">
        <v>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Y118*Source!I207</f>
        <v>3.6792000000000002</v>
      </c>
      <c r="CY118">
        <f>AA118</f>
        <v>127.2</v>
      </c>
      <c r="CZ118">
        <f>AE118</f>
        <v>127.2</v>
      </c>
      <c r="DA118">
        <f>AI118</f>
        <v>1</v>
      </c>
      <c r="DB118">
        <f>ROUND(ROUND(AT118*CZ118,2),1)</f>
        <v>16027.2</v>
      </c>
      <c r="DC118">
        <f>ROUND(ROUND(AT118*AG118,2),1)</f>
        <v>0</v>
      </c>
    </row>
    <row r="119" spans="1:107" x14ac:dyDescent="0.2">
      <c r="A119">
        <f>ROW(Source!A207)</f>
        <v>207</v>
      </c>
      <c r="B119">
        <v>50210945</v>
      </c>
      <c r="C119">
        <v>50211852</v>
      </c>
      <c r="D119">
        <v>45865353</v>
      </c>
      <c r="E119">
        <v>1</v>
      </c>
      <c r="F119">
        <v>1</v>
      </c>
      <c r="G119">
        <v>1</v>
      </c>
      <c r="H119">
        <v>3</v>
      </c>
      <c r="I119" t="s">
        <v>488</v>
      </c>
      <c r="J119" t="s">
        <v>489</v>
      </c>
      <c r="K119" t="s">
        <v>490</v>
      </c>
      <c r="L119">
        <v>1339</v>
      </c>
      <c r="N119">
        <v>1007</v>
      </c>
      <c r="O119" t="s">
        <v>153</v>
      </c>
      <c r="P119" t="s">
        <v>153</v>
      </c>
      <c r="Q119">
        <v>1</v>
      </c>
      <c r="W119">
        <v>0</v>
      </c>
      <c r="X119">
        <v>-1025641989</v>
      </c>
      <c r="Y119">
        <v>7</v>
      </c>
      <c r="AA119">
        <v>2.2599999999999998</v>
      </c>
      <c r="AB119">
        <v>0</v>
      </c>
      <c r="AC119">
        <v>0</v>
      </c>
      <c r="AD119">
        <v>0</v>
      </c>
      <c r="AE119">
        <v>2.2599999999999998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7</v>
      </c>
      <c r="AU119" t="s">
        <v>3</v>
      </c>
      <c r="AV119">
        <v>0</v>
      </c>
      <c r="AW119">
        <v>2</v>
      </c>
      <c r="AX119">
        <v>50211870</v>
      </c>
      <c r="AY119">
        <v>1</v>
      </c>
      <c r="AZ119">
        <v>0</v>
      </c>
      <c r="BA119">
        <v>118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Y119*Source!I207</f>
        <v>0.2044</v>
      </c>
      <c r="CY119">
        <f>AA119</f>
        <v>2.2599999999999998</v>
      </c>
      <c r="CZ119">
        <f>AE119</f>
        <v>2.2599999999999998</v>
      </c>
      <c r="DA119">
        <f>AI119</f>
        <v>1</v>
      </c>
      <c r="DB119">
        <f>ROUND(ROUND(AT119*CZ119,2),1)</f>
        <v>15.8</v>
      </c>
      <c r="DC119">
        <f>ROUND(ROUND(AT119*AG119,2),1)</f>
        <v>0</v>
      </c>
    </row>
    <row r="120" spans="1:107" x14ac:dyDescent="0.2">
      <c r="A120">
        <f>ROW(Source!A209)</f>
        <v>209</v>
      </c>
      <c r="B120">
        <v>50210945</v>
      </c>
      <c r="C120">
        <v>50211872</v>
      </c>
      <c r="D120">
        <v>45976914</v>
      </c>
      <c r="E120">
        <v>1</v>
      </c>
      <c r="F120">
        <v>1</v>
      </c>
      <c r="G120">
        <v>1</v>
      </c>
      <c r="H120">
        <v>1</v>
      </c>
      <c r="I120" t="s">
        <v>474</v>
      </c>
      <c r="J120" t="s">
        <v>3</v>
      </c>
      <c r="K120" t="s">
        <v>475</v>
      </c>
      <c r="L120">
        <v>1476</v>
      </c>
      <c r="N120">
        <v>1013</v>
      </c>
      <c r="O120" t="s">
        <v>447</v>
      </c>
      <c r="P120" t="s">
        <v>448</v>
      </c>
      <c r="Q120">
        <v>1</v>
      </c>
      <c r="W120">
        <v>0</v>
      </c>
      <c r="X120">
        <v>1477335111</v>
      </c>
      <c r="Y120">
        <v>87.49199999999999</v>
      </c>
      <c r="AA120">
        <v>0</v>
      </c>
      <c r="AB120">
        <v>0</v>
      </c>
      <c r="AC120">
        <v>0</v>
      </c>
      <c r="AD120">
        <v>6.88</v>
      </c>
      <c r="AE120">
        <v>0</v>
      </c>
      <c r="AF120">
        <v>0</v>
      </c>
      <c r="AG120">
        <v>0</v>
      </c>
      <c r="AH120">
        <v>6.88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76.08</v>
      </c>
      <c r="AU120" t="s">
        <v>12</v>
      </c>
      <c r="AV120">
        <v>1</v>
      </c>
      <c r="AW120">
        <v>2</v>
      </c>
      <c r="AX120">
        <v>50211884</v>
      </c>
      <c r="AY120">
        <v>1</v>
      </c>
      <c r="AZ120">
        <v>0</v>
      </c>
      <c r="BA120">
        <v>119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Y120*Source!I209</f>
        <v>319.69576799999993</v>
      </c>
      <c r="CY120">
        <f>AD120</f>
        <v>6.88</v>
      </c>
      <c r="CZ120">
        <f>AH120</f>
        <v>6.88</v>
      </c>
      <c r="DA120">
        <f>AL120</f>
        <v>1</v>
      </c>
      <c r="DB120">
        <f>ROUND((ROUND(AT120*CZ120,2)*1.15),1)</f>
        <v>601.9</v>
      </c>
      <c r="DC120">
        <f>ROUND((ROUND(AT120*AG120,2)*1.15),1)</f>
        <v>0</v>
      </c>
    </row>
    <row r="121" spans="1:107" x14ac:dyDescent="0.2">
      <c r="A121">
        <f>ROW(Source!A209)</f>
        <v>209</v>
      </c>
      <c r="B121">
        <v>50210945</v>
      </c>
      <c r="C121">
        <v>50211872</v>
      </c>
      <c r="D121">
        <v>121548</v>
      </c>
      <c r="E121">
        <v>1</v>
      </c>
      <c r="F121">
        <v>1</v>
      </c>
      <c r="G121">
        <v>1</v>
      </c>
      <c r="H121">
        <v>1</v>
      </c>
      <c r="I121" t="s">
        <v>25</v>
      </c>
      <c r="J121" t="s">
        <v>3</v>
      </c>
      <c r="K121" t="s">
        <v>463</v>
      </c>
      <c r="L121">
        <v>608254</v>
      </c>
      <c r="N121">
        <v>1013</v>
      </c>
      <c r="O121" t="s">
        <v>464</v>
      </c>
      <c r="P121" t="s">
        <v>464</v>
      </c>
      <c r="Q121">
        <v>1</v>
      </c>
      <c r="W121">
        <v>0</v>
      </c>
      <c r="X121">
        <v>-185737400</v>
      </c>
      <c r="Y121">
        <v>0.85000000000000009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0.68</v>
      </c>
      <c r="AU121" t="s">
        <v>11</v>
      </c>
      <c r="AV121">
        <v>2</v>
      </c>
      <c r="AW121">
        <v>2</v>
      </c>
      <c r="AX121">
        <v>50211885</v>
      </c>
      <c r="AY121">
        <v>1</v>
      </c>
      <c r="AZ121">
        <v>0</v>
      </c>
      <c r="BA121">
        <v>120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Y121*Source!I209</f>
        <v>3.1059000000000001</v>
      </c>
      <c r="CY121">
        <f>AD121</f>
        <v>0</v>
      </c>
      <c r="CZ121">
        <f>AH121</f>
        <v>0</v>
      </c>
      <c r="DA121">
        <f>AL121</f>
        <v>1</v>
      </c>
      <c r="DB121">
        <f>ROUND((ROUND(AT121*CZ121,2)*1.25),1)</f>
        <v>0</v>
      </c>
      <c r="DC121">
        <f>ROUND((ROUND(AT121*AG121,2)*1.25),1)</f>
        <v>0</v>
      </c>
    </row>
    <row r="122" spans="1:107" x14ac:dyDescent="0.2">
      <c r="A122">
        <f>ROW(Source!A209)</f>
        <v>209</v>
      </c>
      <c r="B122">
        <v>50210945</v>
      </c>
      <c r="C122">
        <v>50211872</v>
      </c>
      <c r="D122">
        <v>45811353</v>
      </c>
      <c r="E122">
        <v>1</v>
      </c>
      <c r="F122">
        <v>1</v>
      </c>
      <c r="G122">
        <v>1</v>
      </c>
      <c r="H122">
        <v>2</v>
      </c>
      <c r="I122" t="s">
        <v>517</v>
      </c>
      <c r="J122" t="s">
        <v>518</v>
      </c>
      <c r="K122" t="s">
        <v>519</v>
      </c>
      <c r="L122">
        <v>45811227</v>
      </c>
      <c r="N122">
        <v>1013</v>
      </c>
      <c r="O122" t="s">
        <v>452</v>
      </c>
      <c r="P122" t="s">
        <v>452</v>
      </c>
      <c r="Q122">
        <v>1</v>
      </c>
      <c r="W122">
        <v>0</v>
      </c>
      <c r="X122">
        <v>642700064</v>
      </c>
      <c r="Y122">
        <v>0.85000000000000009</v>
      </c>
      <c r="AA122">
        <v>0</v>
      </c>
      <c r="AB122">
        <v>111.75</v>
      </c>
      <c r="AC122">
        <v>13.26</v>
      </c>
      <c r="AD122">
        <v>0</v>
      </c>
      <c r="AE122">
        <v>0</v>
      </c>
      <c r="AF122">
        <v>111.75</v>
      </c>
      <c r="AG122">
        <v>13.26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0.68</v>
      </c>
      <c r="AU122" t="s">
        <v>11</v>
      </c>
      <c r="AV122">
        <v>0</v>
      </c>
      <c r="AW122">
        <v>2</v>
      </c>
      <c r="AX122">
        <v>50211886</v>
      </c>
      <c r="AY122">
        <v>1</v>
      </c>
      <c r="AZ122">
        <v>0</v>
      </c>
      <c r="BA122">
        <v>121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Y122*Source!I209</f>
        <v>3.1059000000000001</v>
      </c>
      <c r="CY122">
        <f>AB122</f>
        <v>111.75</v>
      </c>
      <c r="CZ122">
        <f>AF122</f>
        <v>111.75</v>
      </c>
      <c r="DA122">
        <f>AJ122</f>
        <v>1</v>
      </c>
      <c r="DB122">
        <f>ROUND((ROUND(AT122*CZ122,2)*1.25),1)</f>
        <v>95</v>
      </c>
      <c r="DC122">
        <f>ROUND((ROUND(AT122*AG122,2)*1.25),1)</f>
        <v>11.3</v>
      </c>
    </row>
    <row r="123" spans="1:107" x14ac:dyDescent="0.2">
      <c r="A123">
        <f>ROW(Source!A209)</f>
        <v>209</v>
      </c>
      <c r="B123">
        <v>50210945</v>
      </c>
      <c r="C123">
        <v>50211872</v>
      </c>
      <c r="D123">
        <v>45813321</v>
      </c>
      <c r="E123">
        <v>1</v>
      </c>
      <c r="F123">
        <v>1</v>
      </c>
      <c r="G123">
        <v>1</v>
      </c>
      <c r="H123">
        <v>2</v>
      </c>
      <c r="I123" t="s">
        <v>532</v>
      </c>
      <c r="J123" t="s">
        <v>533</v>
      </c>
      <c r="K123" t="s">
        <v>534</v>
      </c>
      <c r="L123">
        <v>45811227</v>
      </c>
      <c r="N123">
        <v>1013</v>
      </c>
      <c r="O123" t="s">
        <v>452</v>
      </c>
      <c r="P123" t="s">
        <v>452</v>
      </c>
      <c r="Q123">
        <v>1</v>
      </c>
      <c r="W123">
        <v>0</v>
      </c>
      <c r="X123">
        <v>771999048</v>
      </c>
      <c r="Y123">
        <v>0.05</v>
      </c>
      <c r="AA123">
        <v>0</v>
      </c>
      <c r="AB123">
        <v>86.55</v>
      </c>
      <c r="AC123">
        <v>0</v>
      </c>
      <c r="AD123">
        <v>0</v>
      </c>
      <c r="AE123">
        <v>0</v>
      </c>
      <c r="AF123">
        <v>86.55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0.04</v>
      </c>
      <c r="AU123" t="s">
        <v>11</v>
      </c>
      <c r="AV123">
        <v>0</v>
      </c>
      <c r="AW123">
        <v>2</v>
      </c>
      <c r="AX123">
        <v>50211887</v>
      </c>
      <c r="AY123">
        <v>1</v>
      </c>
      <c r="AZ123">
        <v>0</v>
      </c>
      <c r="BA123">
        <v>122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Y123*Source!I209</f>
        <v>0.1827</v>
      </c>
      <c r="CY123">
        <f>AB123</f>
        <v>86.55</v>
      </c>
      <c r="CZ123">
        <f>AF123</f>
        <v>86.55</v>
      </c>
      <c r="DA123">
        <f>AJ123</f>
        <v>1</v>
      </c>
      <c r="DB123">
        <f>ROUND((ROUND(AT123*CZ123,2)*1.25),1)</f>
        <v>4.3</v>
      </c>
      <c r="DC123">
        <f>ROUND((ROUND(AT123*AG123,2)*1.25),1)</f>
        <v>0</v>
      </c>
    </row>
    <row r="124" spans="1:107" x14ac:dyDescent="0.2">
      <c r="A124">
        <f>ROW(Source!A209)</f>
        <v>209</v>
      </c>
      <c r="B124">
        <v>50210945</v>
      </c>
      <c r="C124">
        <v>50211872</v>
      </c>
      <c r="D124">
        <v>45816422</v>
      </c>
      <c r="E124">
        <v>1</v>
      </c>
      <c r="F124">
        <v>1</v>
      </c>
      <c r="G124">
        <v>1</v>
      </c>
      <c r="H124">
        <v>3</v>
      </c>
      <c r="I124" t="s">
        <v>550</v>
      </c>
      <c r="J124" t="s">
        <v>551</v>
      </c>
      <c r="K124" t="s">
        <v>552</v>
      </c>
      <c r="L124">
        <v>1348</v>
      </c>
      <c r="N124">
        <v>1009</v>
      </c>
      <c r="O124" t="s">
        <v>190</v>
      </c>
      <c r="P124" t="s">
        <v>190</v>
      </c>
      <c r="Q124">
        <v>1000</v>
      </c>
      <c r="W124">
        <v>0</v>
      </c>
      <c r="X124">
        <v>-1791058657</v>
      </c>
      <c r="Y124">
        <v>1E-3</v>
      </c>
      <c r="AA124">
        <v>10992.4</v>
      </c>
      <c r="AB124">
        <v>0</v>
      </c>
      <c r="AC124">
        <v>0</v>
      </c>
      <c r="AD124">
        <v>0</v>
      </c>
      <c r="AE124">
        <v>10992.4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1E-3</v>
      </c>
      <c r="AU124" t="s">
        <v>3</v>
      </c>
      <c r="AV124">
        <v>0</v>
      </c>
      <c r="AW124">
        <v>2</v>
      </c>
      <c r="AX124">
        <v>50211888</v>
      </c>
      <c r="AY124">
        <v>1</v>
      </c>
      <c r="AZ124">
        <v>0</v>
      </c>
      <c r="BA124">
        <v>123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Y124*Source!I209</f>
        <v>3.6540000000000001E-3</v>
      </c>
      <c r="CY124">
        <f t="shared" ref="CY124:CY130" si="22">AA124</f>
        <v>10992.4</v>
      </c>
      <c r="CZ124">
        <f t="shared" ref="CZ124:CZ130" si="23">AE124</f>
        <v>10992.4</v>
      </c>
      <c r="DA124">
        <f t="shared" ref="DA124:DA130" si="24">AI124</f>
        <v>1</v>
      </c>
      <c r="DB124">
        <f>ROUND(ROUND(AT124*CZ124,2),1)</f>
        <v>11</v>
      </c>
      <c r="DC124">
        <f>ROUND(ROUND(AT124*AG124,2),1)</f>
        <v>0</v>
      </c>
    </row>
    <row r="125" spans="1:107" x14ac:dyDescent="0.2">
      <c r="A125">
        <f>ROW(Source!A209)</f>
        <v>209</v>
      </c>
      <c r="B125">
        <v>50210945</v>
      </c>
      <c r="C125">
        <v>50211872</v>
      </c>
      <c r="D125">
        <v>45823107</v>
      </c>
      <c r="E125">
        <v>1</v>
      </c>
      <c r="F125">
        <v>1</v>
      </c>
      <c r="G125">
        <v>1</v>
      </c>
      <c r="H125">
        <v>3</v>
      </c>
      <c r="I125" t="s">
        <v>553</v>
      </c>
      <c r="J125" t="s">
        <v>554</v>
      </c>
      <c r="K125" t="s">
        <v>555</v>
      </c>
      <c r="L125">
        <v>1339</v>
      </c>
      <c r="N125">
        <v>1007</v>
      </c>
      <c r="O125" t="s">
        <v>153</v>
      </c>
      <c r="P125" t="s">
        <v>153</v>
      </c>
      <c r="Q125">
        <v>1</v>
      </c>
      <c r="W125">
        <v>0</v>
      </c>
      <c r="X125">
        <v>639836162</v>
      </c>
      <c r="Y125">
        <v>0.17</v>
      </c>
      <c r="AA125">
        <v>813.06</v>
      </c>
      <c r="AB125">
        <v>0</v>
      </c>
      <c r="AC125">
        <v>0</v>
      </c>
      <c r="AD125">
        <v>0</v>
      </c>
      <c r="AE125">
        <v>813.06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0.17</v>
      </c>
      <c r="AU125" t="s">
        <v>3</v>
      </c>
      <c r="AV125">
        <v>0</v>
      </c>
      <c r="AW125">
        <v>2</v>
      </c>
      <c r="AX125">
        <v>50211889</v>
      </c>
      <c r="AY125">
        <v>1</v>
      </c>
      <c r="AZ125">
        <v>0</v>
      </c>
      <c r="BA125">
        <v>124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Y125*Source!I209</f>
        <v>0.62118000000000007</v>
      </c>
      <c r="CY125">
        <f t="shared" si="22"/>
        <v>813.06</v>
      </c>
      <c r="CZ125">
        <f t="shared" si="23"/>
        <v>813.06</v>
      </c>
      <c r="DA125">
        <f t="shared" si="24"/>
        <v>1</v>
      </c>
      <c r="DB125">
        <f>ROUND(ROUND(AT125*CZ125,2),1)</f>
        <v>138.19999999999999</v>
      </c>
      <c r="DC125">
        <f>ROUND(ROUND(AT125*AG125,2),1)</f>
        <v>0</v>
      </c>
    </row>
    <row r="126" spans="1:107" x14ac:dyDescent="0.2">
      <c r="A126">
        <f>ROW(Source!A209)</f>
        <v>209</v>
      </c>
      <c r="B126">
        <v>50210945</v>
      </c>
      <c r="C126">
        <v>50211872</v>
      </c>
      <c r="D126">
        <v>45853218</v>
      </c>
      <c r="E126">
        <v>1</v>
      </c>
      <c r="F126">
        <v>1</v>
      </c>
      <c r="G126">
        <v>1</v>
      </c>
      <c r="H126">
        <v>3</v>
      </c>
      <c r="I126" t="s">
        <v>241</v>
      </c>
      <c r="J126" t="s">
        <v>243</v>
      </c>
      <c r="K126" t="s">
        <v>242</v>
      </c>
      <c r="L126">
        <v>1339</v>
      </c>
      <c r="N126">
        <v>1007</v>
      </c>
      <c r="O126" t="s">
        <v>153</v>
      </c>
      <c r="P126" t="s">
        <v>153</v>
      </c>
      <c r="Q126">
        <v>1</v>
      </c>
      <c r="W126">
        <v>1</v>
      </c>
      <c r="X126">
        <v>-452102078</v>
      </c>
      <c r="Y126">
        <v>-5.9</v>
      </c>
      <c r="AA126">
        <v>550.19000000000005</v>
      </c>
      <c r="AB126">
        <v>0</v>
      </c>
      <c r="AC126">
        <v>0</v>
      </c>
      <c r="AD126">
        <v>0</v>
      </c>
      <c r="AE126">
        <v>550.19000000000005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</v>
      </c>
      <c r="AT126">
        <v>-5.9</v>
      </c>
      <c r="AU126" t="s">
        <v>3</v>
      </c>
      <c r="AV126">
        <v>0</v>
      </c>
      <c r="AW126">
        <v>2</v>
      </c>
      <c r="AX126">
        <v>50211890</v>
      </c>
      <c r="AY126">
        <v>1</v>
      </c>
      <c r="AZ126">
        <v>6144</v>
      </c>
      <c r="BA126">
        <v>125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Y126*Source!I209</f>
        <v>-21.558600000000002</v>
      </c>
      <c r="CY126">
        <f t="shared" si="22"/>
        <v>550.19000000000005</v>
      </c>
      <c r="CZ126">
        <f t="shared" si="23"/>
        <v>550.19000000000005</v>
      </c>
      <c r="DA126">
        <f t="shared" si="24"/>
        <v>1</v>
      </c>
      <c r="DB126">
        <f>ROUND(ROUND(AT126*CZ126,2),1)</f>
        <v>-3246.1</v>
      </c>
      <c r="DC126">
        <f>ROUND(ROUND(AT126*AG126,2),1)</f>
        <v>0</v>
      </c>
    </row>
    <row r="127" spans="1:107" x14ac:dyDescent="0.2">
      <c r="A127">
        <f>ROW(Source!A209)</f>
        <v>209</v>
      </c>
      <c r="B127">
        <v>50210945</v>
      </c>
      <c r="C127">
        <v>50211872</v>
      </c>
      <c r="D127">
        <v>45853218</v>
      </c>
      <c r="E127">
        <v>1</v>
      </c>
      <c r="F127">
        <v>1</v>
      </c>
      <c r="G127">
        <v>1</v>
      </c>
      <c r="H127">
        <v>3</v>
      </c>
      <c r="I127" t="s">
        <v>241</v>
      </c>
      <c r="J127" t="s">
        <v>243</v>
      </c>
      <c r="K127" t="s">
        <v>242</v>
      </c>
      <c r="L127">
        <v>1339</v>
      </c>
      <c r="N127">
        <v>1007</v>
      </c>
      <c r="O127" t="s">
        <v>153</v>
      </c>
      <c r="P127" t="s">
        <v>153</v>
      </c>
      <c r="Q127">
        <v>1</v>
      </c>
      <c r="W127">
        <v>1</v>
      </c>
      <c r="X127">
        <v>-452102078</v>
      </c>
      <c r="Y127">
        <v>5.0739999999999998</v>
      </c>
      <c r="AA127">
        <v>550.19000000000005</v>
      </c>
      <c r="AB127">
        <v>0</v>
      </c>
      <c r="AC127">
        <v>0</v>
      </c>
      <c r="AD127">
        <v>0</v>
      </c>
      <c r="AE127">
        <v>550.19000000000005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0</v>
      </c>
      <c r="AP127">
        <v>1</v>
      </c>
      <c r="AQ127">
        <v>0</v>
      </c>
      <c r="AR127">
        <v>0</v>
      </c>
      <c r="AS127" t="s">
        <v>3</v>
      </c>
      <c r="AT127">
        <v>5.9</v>
      </c>
      <c r="AU127" t="s">
        <v>558</v>
      </c>
      <c r="AV127">
        <v>0</v>
      </c>
      <c r="AW127">
        <v>1</v>
      </c>
      <c r="AX127">
        <v>-1</v>
      </c>
      <c r="AY127">
        <v>0</v>
      </c>
      <c r="AZ127">
        <v>0</v>
      </c>
      <c r="BA127" t="s">
        <v>3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Y127*Source!I209</f>
        <v>18.540395999999998</v>
      </c>
      <c r="CY127">
        <f t="shared" si="22"/>
        <v>550.19000000000005</v>
      </c>
      <c r="CZ127">
        <f t="shared" si="23"/>
        <v>550.19000000000005</v>
      </c>
      <c r="DA127">
        <f t="shared" si="24"/>
        <v>1</v>
      </c>
      <c r="DB127">
        <f>ROUND((ROUND(AT127*CZ127,2)*0.86),1)</f>
        <v>2791.7</v>
      </c>
      <c r="DC127">
        <f>ROUND((ROUND(AT127*AG127,2)*0.86),1)</f>
        <v>0</v>
      </c>
    </row>
    <row r="128" spans="1:107" x14ac:dyDescent="0.2">
      <c r="A128">
        <f>ROW(Source!A209)</f>
        <v>209</v>
      </c>
      <c r="B128">
        <v>50210945</v>
      </c>
      <c r="C128">
        <v>50211872</v>
      </c>
      <c r="D128">
        <v>45853757</v>
      </c>
      <c r="E128">
        <v>1</v>
      </c>
      <c r="F128">
        <v>1</v>
      </c>
      <c r="G128">
        <v>1</v>
      </c>
      <c r="H128">
        <v>3</v>
      </c>
      <c r="I128" t="s">
        <v>246</v>
      </c>
      <c r="J128" t="s">
        <v>248</v>
      </c>
      <c r="K128" t="s">
        <v>247</v>
      </c>
      <c r="L128">
        <v>1339</v>
      </c>
      <c r="N128">
        <v>1007</v>
      </c>
      <c r="O128" t="s">
        <v>153</v>
      </c>
      <c r="P128" t="s">
        <v>153</v>
      </c>
      <c r="Q128">
        <v>1</v>
      </c>
      <c r="W128">
        <v>1</v>
      </c>
      <c r="X128">
        <v>895118465</v>
      </c>
      <c r="Y128">
        <v>-0.06</v>
      </c>
      <c r="AA128">
        <v>484.14</v>
      </c>
      <c r="AB128">
        <v>0</v>
      </c>
      <c r="AC128">
        <v>0</v>
      </c>
      <c r="AD128">
        <v>0</v>
      </c>
      <c r="AE128">
        <v>484.14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-0.06</v>
      </c>
      <c r="AU128" t="s">
        <v>3</v>
      </c>
      <c r="AV128">
        <v>0</v>
      </c>
      <c r="AW128">
        <v>2</v>
      </c>
      <c r="AX128">
        <v>50211891</v>
      </c>
      <c r="AY128">
        <v>1</v>
      </c>
      <c r="AZ128">
        <v>6144</v>
      </c>
      <c r="BA128">
        <v>126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Y128*Source!I209</f>
        <v>-0.21923999999999999</v>
      </c>
      <c r="CY128">
        <f t="shared" si="22"/>
        <v>484.14</v>
      </c>
      <c r="CZ128">
        <f t="shared" si="23"/>
        <v>484.14</v>
      </c>
      <c r="DA128">
        <f t="shared" si="24"/>
        <v>1</v>
      </c>
      <c r="DB128">
        <f>ROUND(ROUND(AT128*CZ128,2),1)</f>
        <v>-29.1</v>
      </c>
      <c r="DC128">
        <f>ROUND(ROUND(AT128*AG128,2),1)</f>
        <v>0</v>
      </c>
    </row>
    <row r="129" spans="1:107" x14ac:dyDescent="0.2">
      <c r="A129">
        <f>ROW(Source!A209)</f>
        <v>209</v>
      </c>
      <c r="B129">
        <v>50210945</v>
      </c>
      <c r="C129">
        <v>50211872</v>
      </c>
      <c r="D129">
        <v>45853757</v>
      </c>
      <c r="E129">
        <v>1</v>
      </c>
      <c r="F129">
        <v>1</v>
      </c>
      <c r="G129">
        <v>1</v>
      </c>
      <c r="H129">
        <v>3</v>
      </c>
      <c r="I129" t="s">
        <v>246</v>
      </c>
      <c r="J129" t="s">
        <v>248</v>
      </c>
      <c r="K129" t="s">
        <v>247</v>
      </c>
      <c r="L129">
        <v>1339</v>
      </c>
      <c r="N129">
        <v>1007</v>
      </c>
      <c r="O129" t="s">
        <v>153</v>
      </c>
      <c r="P129" t="s">
        <v>153</v>
      </c>
      <c r="Q129">
        <v>1</v>
      </c>
      <c r="W129">
        <v>1</v>
      </c>
      <c r="X129">
        <v>895118465</v>
      </c>
      <c r="Y129">
        <v>1.9800000000000002E-2</v>
      </c>
      <c r="AA129">
        <v>484.14</v>
      </c>
      <c r="AB129">
        <v>0</v>
      </c>
      <c r="AC129">
        <v>0</v>
      </c>
      <c r="AD129">
        <v>0</v>
      </c>
      <c r="AE129">
        <v>484.14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0</v>
      </c>
      <c r="AP129">
        <v>1</v>
      </c>
      <c r="AQ129">
        <v>0</v>
      </c>
      <c r="AR129">
        <v>0</v>
      </c>
      <c r="AS129" t="s">
        <v>3</v>
      </c>
      <c r="AT129">
        <v>0.06</v>
      </c>
      <c r="AU129" t="s">
        <v>559</v>
      </c>
      <c r="AV129">
        <v>0</v>
      </c>
      <c r="AW129">
        <v>1</v>
      </c>
      <c r="AX129">
        <v>-1</v>
      </c>
      <c r="AY129">
        <v>0</v>
      </c>
      <c r="AZ129">
        <v>0</v>
      </c>
      <c r="BA129" t="s">
        <v>3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Y129*Source!I209</f>
        <v>7.2349200000000002E-2</v>
      </c>
      <c r="CY129">
        <f t="shared" si="22"/>
        <v>484.14</v>
      </c>
      <c r="CZ129">
        <f t="shared" si="23"/>
        <v>484.14</v>
      </c>
      <c r="DA129">
        <f t="shared" si="24"/>
        <v>1</v>
      </c>
      <c r="DB129">
        <f>ROUND((ROUND(AT129*CZ129,2)*0.33),1)</f>
        <v>9.6</v>
      </c>
      <c r="DC129">
        <f>ROUND((ROUND(AT129*AG129,2)*0.33),1)</f>
        <v>0</v>
      </c>
    </row>
    <row r="130" spans="1:107" x14ac:dyDescent="0.2">
      <c r="A130">
        <f>ROW(Source!A209)</f>
        <v>209</v>
      </c>
      <c r="B130">
        <v>50210945</v>
      </c>
      <c r="C130">
        <v>50211872</v>
      </c>
      <c r="D130">
        <v>45862971</v>
      </c>
      <c r="E130">
        <v>1</v>
      </c>
      <c r="F130">
        <v>1</v>
      </c>
      <c r="G130">
        <v>1</v>
      </c>
      <c r="H130">
        <v>3</v>
      </c>
      <c r="I130" t="s">
        <v>237</v>
      </c>
      <c r="J130" t="s">
        <v>239</v>
      </c>
      <c r="K130" t="s">
        <v>238</v>
      </c>
      <c r="L130">
        <v>1354</v>
      </c>
      <c r="N130">
        <v>1010</v>
      </c>
      <c r="O130" t="s">
        <v>220</v>
      </c>
      <c r="P130" t="s">
        <v>220</v>
      </c>
      <c r="Q130">
        <v>1</v>
      </c>
      <c r="W130">
        <v>0</v>
      </c>
      <c r="X130">
        <v>-892694326</v>
      </c>
      <c r="Y130">
        <v>100</v>
      </c>
      <c r="AA130">
        <v>20.71</v>
      </c>
      <c r="AB130">
        <v>0</v>
      </c>
      <c r="AC130">
        <v>0</v>
      </c>
      <c r="AD130">
        <v>0</v>
      </c>
      <c r="AE130">
        <v>20.71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0</v>
      </c>
      <c r="AP130">
        <v>0</v>
      </c>
      <c r="AQ130">
        <v>0</v>
      </c>
      <c r="AR130">
        <v>0</v>
      </c>
      <c r="AS130" t="s">
        <v>3</v>
      </c>
      <c r="AT130">
        <v>100</v>
      </c>
      <c r="AU130" t="s">
        <v>3</v>
      </c>
      <c r="AV130">
        <v>0</v>
      </c>
      <c r="AW130">
        <v>1</v>
      </c>
      <c r="AX130">
        <v>-1</v>
      </c>
      <c r="AY130">
        <v>0</v>
      </c>
      <c r="AZ130">
        <v>0</v>
      </c>
      <c r="BA130" t="s">
        <v>3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Y130*Source!I209</f>
        <v>365.4</v>
      </c>
      <c r="CY130">
        <f t="shared" si="22"/>
        <v>20.71</v>
      </c>
      <c r="CZ130">
        <f t="shared" si="23"/>
        <v>20.71</v>
      </c>
      <c r="DA130">
        <f t="shared" si="24"/>
        <v>1</v>
      </c>
      <c r="DB130">
        <f>ROUND(ROUND(AT130*CZ130,2),1)</f>
        <v>2071</v>
      </c>
      <c r="DC130">
        <f>ROUND(ROUND(AT130*AG130,2),1)</f>
        <v>0</v>
      </c>
    </row>
    <row r="131" spans="1:107" x14ac:dyDescent="0.2">
      <c r="A131">
        <f>ROW(Source!A215)</f>
        <v>215</v>
      </c>
      <c r="B131">
        <v>50210945</v>
      </c>
      <c r="C131">
        <v>50211898</v>
      </c>
      <c r="D131">
        <v>45981686</v>
      </c>
      <c r="E131">
        <v>1</v>
      </c>
      <c r="F131">
        <v>1</v>
      </c>
      <c r="G131">
        <v>1</v>
      </c>
      <c r="H131">
        <v>1</v>
      </c>
      <c r="I131" t="s">
        <v>556</v>
      </c>
      <c r="J131" t="s">
        <v>3</v>
      </c>
      <c r="K131" t="s">
        <v>557</v>
      </c>
      <c r="L131">
        <v>1476</v>
      </c>
      <c r="N131">
        <v>1013</v>
      </c>
      <c r="O131" t="s">
        <v>447</v>
      </c>
      <c r="P131" t="s">
        <v>448</v>
      </c>
      <c r="Q131">
        <v>1</v>
      </c>
      <c r="W131">
        <v>0</v>
      </c>
      <c r="X131">
        <v>-1949506561</v>
      </c>
      <c r="Y131">
        <v>101.77499999999999</v>
      </c>
      <c r="AA131">
        <v>0</v>
      </c>
      <c r="AB131">
        <v>0</v>
      </c>
      <c r="AC131">
        <v>0</v>
      </c>
      <c r="AD131">
        <v>6.1</v>
      </c>
      <c r="AE131">
        <v>0</v>
      </c>
      <c r="AF131">
        <v>0</v>
      </c>
      <c r="AG131">
        <v>0</v>
      </c>
      <c r="AH131">
        <v>6.1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88.5</v>
      </c>
      <c r="AU131" t="s">
        <v>12</v>
      </c>
      <c r="AV131">
        <v>1</v>
      </c>
      <c r="AW131">
        <v>2</v>
      </c>
      <c r="AX131">
        <v>50211900</v>
      </c>
      <c r="AY131">
        <v>1</v>
      </c>
      <c r="AZ131">
        <v>0</v>
      </c>
      <c r="BA131">
        <v>128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Y131*Source!I215</f>
        <v>3.2771549999999996</v>
      </c>
      <c r="CY131">
        <f>AD131</f>
        <v>6.1</v>
      </c>
      <c r="CZ131">
        <f>AH131</f>
        <v>6.1</v>
      </c>
      <c r="DA131">
        <f>AL131</f>
        <v>1</v>
      </c>
      <c r="DB131">
        <f>ROUND((ROUND(AT131*CZ131,2)*1.15),1)</f>
        <v>620.79999999999995</v>
      </c>
      <c r="DC131">
        <f>ROUND((ROUND(AT131*AG131,2)*1.15),1)</f>
        <v>0</v>
      </c>
    </row>
    <row r="132" spans="1:107" x14ac:dyDescent="0.2">
      <c r="A132">
        <f>ROW(Source!A253)</f>
        <v>253</v>
      </c>
      <c r="B132">
        <v>50210945</v>
      </c>
      <c r="C132">
        <v>50211903</v>
      </c>
      <c r="D132">
        <v>45978326</v>
      </c>
      <c r="E132">
        <v>1</v>
      </c>
      <c r="F132">
        <v>1</v>
      </c>
      <c r="G132">
        <v>1</v>
      </c>
      <c r="H132">
        <v>1</v>
      </c>
      <c r="I132" t="s">
        <v>507</v>
      </c>
      <c r="J132" t="s">
        <v>3</v>
      </c>
      <c r="K132" t="s">
        <v>508</v>
      </c>
      <c r="L132">
        <v>1476</v>
      </c>
      <c r="N132">
        <v>1013</v>
      </c>
      <c r="O132" t="s">
        <v>447</v>
      </c>
      <c r="P132" t="s">
        <v>448</v>
      </c>
      <c r="Q132">
        <v>1</v>
      </c>
      <c r="W132">
        <v>0</v>
      </c>
      <c r="X132">
        <v>2017347174</v>
      </c>
      <c r="Y132">
        <v>27.8185</v>
      </c>
      <c r="AA132">
        <v>0</v>
      </c>
      <c r="AB132">
        <v>0</v>
      </c>
      <c r="AC132">
        <v>0</v>
      </c>
      <c r="AD132">
        <v>6.58</v>
      </c>
      <c r="AE132">
        <v>0</v>
      </c>
      <c r="AF132">
        <v>0</v>
      </c>
      <c r="AG132">
        <v>0</v>
      </c>
      <c r="AH132">
        <v>6.58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24.19</v>
      </c>
      <c r="AU132" t="s">
        <v>12</v>
      </c>
      <c r="AV132">
        <v>1</v>
      </c>
      <c r="AW132">
        <v>2</v>
      </c>
      <c r="AX132">
        <v>50211913</v>
      </c>
      <c r="AY132">
        <v>1</v>
      </c>
      <c r="AZ132">
        <v>0</v>
      </c>
      <c r="BA132">
        <v>129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Y132*Source!I253</f>
        <v>10.47922895</v>
      </c>
      <c r="CY132">
        <f>AD132</f>
        <v>6.58</v>
      </c>
      <c r="CZ132">
        <f>AH132</f>
        <v>6.58</v>
      </c>
      <c r="DA132">
        <f>AL132</f>
        <v>1</v>
      </c>
      <c r="DB132">
        <f>ROUND((ROUND(AT132*CZ132,2)*1.15),1)</f>
        <v>183</v>
      </c>
      <c r="DC132">
        <f>ROUND((ROUND(AT132*AG132,2)*1.15),1)</f>
        <v>0</v>
      </c>
    </row>
    <row r="133" spans="1:107" x14ac:dyDescent="0.2">
      <c r="A133">
        <f>ROW(Source!A253)</f>
        <v>253</v>
      </c>
      <c r="B133">
        <v>50210945</v>
      </c>
      <c r="C133">
        <v>50211903</v>
      </c>
      <c r="D133">
        <v>121548</v>
      </c>
      <c r="E133">
        <v>1</v>
      </c>
      <c r="F133">
        <v>1</v>
      </c>
      <c r="G133">
        <v>1</v>
      </c>
      <c r="H133">
        <v>1</v>
      </c>
      <c r="I133" t="s">
        <v>25</v>
      </c>
      <c r="J133" t="s">
        <v>3</v>
      </c>
      <c r="K133" t="s">
        <v>463</v>
      </c>
      <c r="L133">
        <v>608254</v>
      </c>
      <c r="N133">
        <v>1013</v>
      </c>
      <c r="O133" t="s">
        <v>464</v>
      </c>
      <c r="P133" t="s">
        <v>464</v>
      </c>
      <c r="Q133">
        <v>1</v>
      </c>
      <c r="W133">
        <v>0</v>
      </c>
      <c r="X133">
        <v>-185737400</v>
      </c>
      <c r="Y133">
        <v>25.75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20.6</v>
      </c>
      <c r="AU133" t="s">
        <v>11</v>
      </c>
      <c r="AV133">
        <v>2</v>
      </c>
      <c r="AW133">
        <v>2</v>
      </c>
      <c r="AX133">
        <v>50211914</v>
      </c>
      <c r="AY133">
        <v>1</v>
      </c>
      <c r="AZ133">
        <v>0</v>
      </c>
      <c r="BA133">
        <v>130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Y133*Source!I253</f>
        <v>9.7000250000000001</v>
      </c>
      <c r="CY133">
        <f>AD133</f>
        <v>0</v>
      </c>
      <c r="CZ133">
        <f>AH133</f>
        <v>0</v>
      </c>
      <c r="DA133">
        <f>AL133</f>
        <v>1</v>
      </c>
      <c r="DB133">
        <f t="shared" ref="DB133:DB138" si="25">ROUND((ROUND(AT133*CZ133,2)*1.25),1)</f>
        <v>0</v>
      </c>
      <c r="DC133">
        <f t="shared" ref="DC133:DC138" si="26">ROUND((ROUND(AT133*AG133,2)*1.25),1)</f>
        <v>0</v>
      </c>
    </row>
    <row r="134" spans="1:107" x14ac:dyDescent="0.2">
      <c r="A134">
        <f>ROW(Source!A253)</f>
        <v>253</v>
      </c>
      <c r="B134">
        <v>50210945</v>
      </c>
      <c r="C134">
        <v>50211903</v>
      </c>
      <c r="D134">
        <v>45811426</v>
      </c>
      <c r="E134">
        <v>1</v>
      </c>
      <c r="F134">
        <v>1</v>
      </c>
      <c r="G134">
        <v>1</v>
      </c>
      <c r="H134">
        <v>2</v>
      </c>
      <c r="I134" t="s">
        <v>498</v>
      </c>
      <c r="J134" t="s">
        <v>499</v>
      </c>
      <c r="K134" t="s">
        <v>500</v>
      </c>
      <c r="L134">
        <v>45811227</v>
      </c>
      <c r="N134">
        <v>1013</v>
      </c>
      <c r="O134" t="s">
        <v>452</v>
      </c>
      <c r="P134" t="s">
        <v>452</v>
      </c>
      <c r="Q134">
        <v>1</v>
      </c>
      <c r="W134">
        <v>0</v>
      </c>
      <c r="X134">
        <v>-1615317198</v>
      </c>
      <c r="Y134">
        <v>3.0750000000000002</v>
      </c>
      <c r="AA134">
        <v>0</v>
      </c>
      <c r="AB134">
        <v>89.81</v>
      </c>
      <c r="AC134">
        <v>9.8800000000000008</v>
      </c>
      <c r="AD134">
        <v>0</v>
      </c>
      <c r="AE134">
        <v>0</v>
      </c>
      <c r="AF134">
        <v>89.81</v>
      </c>
      <c r="AG134">
        <v>9.8800000000000008</v>
      </c>
      <c r="AH134">
        <v>0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2.46</v>
      </c>
      <c r="AU134" t="s">
        <v>11</v>
      </c>
      <c r="AV134">
        <v>0</v>
      </c>
      <c r="AW134">
        <v>2</v>
      </c>
      <c r="AX134">
        <v>50211915</v>
      </c>
      <c r="AY134">
        <v>1</v>
      </c>
      <c r="AZ134">
        <v>0</v>
      </c>
      <c r="BA134">
        <v>131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Y134*Source!I253</f>
        <v>1.1583524999999999</v>
      </c>
      <c r="CY134">
        <f>AB134</f>
        <v>89.81</v>
      </c>
      <c r="CZ134">
        <f>AF134</f>
        <v>89.81</v>
      </c>
      <c r="DA134">
        <f>AJ134</f>
        <v>1</v>
      </c>
      <c r="DB134">
        <f t="shared" si="25"/>
        <v>276.2</v>
      </c>
      <c r="DC134">
        <f t="shared" si="26"/>
        <v>30.4</v>
      </c>
    </row>
    <row r="135" spans="1:107" x14ac:dyDescent="0.2">
      <c r="A135">
        <f>ROW(Source!A253)</f>
        <v>253</v>
      </c>
      <c r="B135">
        <v>50210945</v>
      </c>
      <c r="C135">
        <v>50211903</v>
      </c>
      <c r="D135">
        <v>45811709</v>
      </c>
      <c r="E135">
        <v>1</v>
      </c>
      <c r="F135">
        <v>1</v>
      </c>
      <c r="G135">
        <v>1</v>
      </c>
      <c r="H135">
        <v>2</v>
      </c>
      <c r="I135" t="s">
        <v>468</v>
      </c>
      <c r="J135" t="s">
        <v>469</v>
      </c>
      <c r="K135" t="s">
        <v>470</v>
      </c>
      <c r="L135">
        <v>45811227</v>
      </c>
      <c r="N135">
        <v>1013</v>
      </c>
      <c r="O135" t="s">
        <v>452</v>
      </c>
      <c r="P135" t="s">
        <v>452</v>
      </c>
      <c r="Q135">
        <v>1</v>
      </c>
      <c r="W135">
        <v>0</v>
      </c>
      <c r="X135">
        <v>-1764643830</v>
      </c>
      <c r="Y135">
        <v>3.2374999999999998</v>
      </c>
      <c r="AA135">
        <v>0</v>
      </c>
      <c r="AB135">
        <v>79.75</v>
      </c>
      <c r="AC135">
        <v>13.26</v>
      </c>
      <c r="AD135">
        <v>0</v>
      </c>
      <c r="AE135">
        <v>0</v>
      </c>
      <c r="AF135">
        <v>79.75</v>
      </c>
      <c r="AG135">
        <v>13.26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2.59</v>
      </c>
      <c r="AU135" t="s">
        <v>11</v>
      </c>
      <c r="AV135">
        <v>0</v>
      </c>
      <c r="AW135">
        <v>2</v>
      </c>
      <c r="AX135">
        <v>50211916</v>
      </c>
      <c r="AY135">
        <v>1</v>
      </c>
      <c r="AZ135">
        <v>0</v>
      </c>
      <c r="BA135">
        <v>132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Y135*Source!I253</f>
        <v>1.21956625</v>
      </c>
      <c r="CY135">
        <f>AB135</f>
        <v>79.75</v>
      </c>
      <c r="CZ135">
        <f>AF135</f>
        <v>79.75</v>
      </c>
      <c r="DA135">
        <f>AJ135</f>
        <v>1</v>
      </c>
      <c r="DB135">
        <f t="shared" si="25"/>
        <v>258.2</v>
      </c>
      <c r="DC135">
        <f t="shared" si="26"/>
        <v>42.9</v>
      </c>
    </row>
    <row r="136" spans="1:107" x14ac:dyDescent="0.2">
      <c r="A136">
        <f>ROW(Source!A253)</f>
        <v>253</v>
      </c>
      <c r="B136">
        <v>50210945</v>
      </c>
      <c r="C136">
        <v>50211903</v>
      </c>
      <c r="D136">
        <v>45811921</v>
      </c>
      <c r="E136">
        <v>1</v>
      </c>
      <c r="F136">
        <v>1</v>
      </c>
      <c r="G136">
        <v>1</v>
      </c>
      <c r="H136">
        <v>2</v>
      </c>
      <c r="I136" t="s">
        <v>501</v>
      </c>
      <c r="J136" t="s">
        <v>502</v>
      </c>
      <c r="K136" t="s">
        <v>503</v>
      </c>
      <c r="L136">
        <v>45811227</v>
      </c>
      <c r="N136">
        <v>1013</v>
      </c>
      <c r="O136" t="s">
        <v>452</v>
      </c>
      <c r="P136" t="s">
        <v>452</v>
      </c>
      <c r="Q136">
        <v>1</v>
      </c>
      <c r="W136">
        <v>0</v>
      </c>
      <c r="X136">
        <v>-1104063720</v>
      </c>
      <c r="Y136">
        <v>2.875</v>
      </c>
      <c r="AA136">
        <v>0</v>
      </c>
      <c r="AB136">
        <v>122.76</v>
      </c>
      <c r="AC136">
        <v>13.26</v>
      </c>
      <c r="AD136">
        <v>0</v>
      </c>
      <c r="AE136">
        <v>0</v>
      </c>
      <c r="AF136">
        <v>122.76</v>
      </c>
      <c r="AG136">
        <v>13.26</v>
      </c>
      <c r="AH136">
        <v>0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2.2999999999999998</v>
      </c>
      <c r="AU136" t="s">
        <v>11</v>
      </c>
      <c r="AV136">
        <v>0</v>
      </c>
      <c r="AW136">
        <v>2</v>
      </c>
      <c r="AX136">
        <v>50211917</v>
      </c>
      <c r="AY136">
        <v>1</v>
      </c>
      <c r="AZ136">
        <v>0</v>
      </c>
      <c r="BA136">
        <v>133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Y136*Source!I253</f>
        <v>1.0830124999999999</v>
      </c>
      <c r="CY136">
        <f>AB136</f>
        <v>122.76</v>
      </c>
      <c r="CZ136">
        <f>AF136</f>
        <v>122.76</v>
      </c>
      <c r="DA136">
        <f>AJ136</f>
        <v>1</v>
      </c>
      <c r="DB136">
        <f t="shared" si="25"/>
        <v>352.9</v>
      </c>
      <c r="DC136">
        <f t="shared" si="26"/>
        <v>38.1</v>
      </c>
    </row>
    <row r="137" spans="1:107" x14ac:dyDescent="0.2">
      <c r="A137">
        <f>ROW(Source!A253)</f>
        <v>253</v>
      </c>
      <c r="B137">
        <v>50210945</v>
      </c>
      <c r="C137">
        <v>50211903</v>
      </c>
      <c r="D137">
        <v>45811951</v>
      </c>
      <c r="E137">
        <v>1</v>
      </c>
      <c r="F137">
        <v>1</v>
      </c>
      <c r="G137">
        <v>1</v>
      </c>
      <c r="H137">
        <v>2</v>
      </c>
      <c r="I137" t="s">
        <v>504</v>
      </c>
      <c r="J137" t="s">
        <v>505</v>
      </c>
      <c r="K137" t="s">
        <v>506</v>
      </c>
      <c r="L137">
        <v>45811227</v>
      </c>
      <c r="N137">
        <v>1013</v>
      </c>
      <c r="O137" t="s">
        <v>452</v>
      </c>
      <c r="P137" t="s">
        <v>452</v>
      </c>
      <c r="Q137">
        <v>1</v>
      </c>
      <c r="W137">
        <v>0</v>
      </c>
      <c r="X137">
        <v>1987113411</v>
      </c>
      <c r="Y137">
        <v>15.262500000000001</v>
      </c>
      <c r="AA137">
        <v>0</v>
      </c>
      <c r="AB137">
        <v>205.75</v>
      </c>
      <c r="AC137">
        <v>14.14</v>
      </c>
      <c r="AD137">
        <v>0</v>
      </c>
      <c r="AE137">
        <v>0</v>
      </c>
      <c r="AF137">
        <v>205.75</v>
      </c>
      <c r="AG137">
        <v>14.14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12.21</v>
      </c>
      <c r="AU137" t="s">
        <v>11</v>
      </c>
      <c r="AV137">
        <v>0</v>
      </c>
      <c r="AW137">
        <v>2</v>
      </c>
      <c r="AX137">
        <v>50211918</v>
      </c>
      <c r="AY137">
        <v>1</v>
      </c>
      <c r="AZ137">
        <v>0</v>
      </c>
      <c r="BA137">
        <v>134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Y137*Source!I253</f>
        <v>5.7493837499999998</v>
      </c>
      <c r="CY137">
        <f>AB137</f>
        <v>205.75</v>
      </c>
      <c r="CZ137">
        <f>AF137</f>
        <v>205.75</v>
      </c>
      <c r="DA137">
        <f>AJ137</f>
        <v>1</v>
      </c>
      <c r="DB137">
        <f t="shared" si="25"/>
        <v>3140.3</v>
      </c>
      <c r="DC137">
        <f t="shared" si="26"/>
        <v>215.8</v>
      </c>
    </row>
    <row r="138" spans="1:107" x14ac:dyDescent="0.2">
      <c r="A138">
        <f>ROW(Source!A253)</f>
        <v>253</v>
      </c>
      <c r="B138">
        <v>50210945</v>
      </c>
      <c r="C138">
        <v>50211903</v>
      </c>
      <c r="D138">
        <v>45812009</v>
      </c>
      <c r="E138">
        <v>1</v>
      </c>
      <c r="F138">
        <v>1</v>
      </c>
      <c r="G138">
        <v>1</v>
      </c>
      <c r="H138">
        <v>2</v>
      </c>
      <c r="I138" t="s">
        <v>479</v>
      </c>
      <c r="J138" t="s">
        <v>480</v>
      </c>
      <c r="K138" t="s">
        <v>481</v>
      </c>
      <c r="L138">
        <v>45811227</v>
      </c>
      <c r="N138">
        <v>1013</v>
      </c>
      <c r="O138" t="s">
        <v>452</v>
      </c>
      <c r="P138" t="s">
        <v>452</v>
      </c>
      <c r="Q138">
        <v>1</v>
      </c>
      <c r="W138">
        <v>0</v>
      </c>
      <c r="X138">
        <v>-1075265446</v>
      </c>
      <c r="Y138">
        <v>1.3</v>
      </c>
      <c r="AA138">
        <v>0</v>
      </c>
      <c r="AB138">
        <v>110</v>
      </c>
      <c r="AC138">
        <v>11.38</v>
      </c>
      <c r="AD138">
        <v>0</v>
      </c>
      <c r="AE138">
        <v>0</v>
      </c>
      <c r="AF138">
        <v>110</v>
      </c>
      <c r="AG138">
        <v>11.38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1.04</v>
      </c>
      <c r="AU138" t="s">
        <v>11</v>
      </c>
      <c r="AV138">
        <v>0</v>
      </c>
      <c r="AW138">
        <v>2</v>
      </c>
      <c r="AX138">
        <v>50211919</v>
      </c>
      <c r="AY138">
        <v>1</v>
      </c>
      <c r="AZ138">
        <v>0</v>
      </c>
      <c r="BA138">
        <v>135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Y138*Source!I253</f>
        <v>0.48970999999999998</v>
      </c>
      <c r="CY138">
        <f>AB138</f>
        <v>110</v>
      </c>
      <c r="CZ138">
        <f>AF138</f>
        <v>110</v>
      </c>
      <c r="DA138">
        <f>AJ138</f>
        <v>1</v>
      </c>
      <c r="DB138">
        <f t="shared" si="25"/>
        <v>143</v>
      </c>
      <c r="DC138">
        <f t="shared" si="26"/>
        <v>14.8</v>
      </c>
    </row>
    <row r="139" spans="1:107" x14ac:dyDescent="0.2">
      <c r="A139">
        <f>ROW(Source!A253)</f>
        <v>253</v>
      </c>
      <c r="B139">
        <v>50210945</v>
      </c>
      <c r="C139">
        <v>50211903</v>
      </c>
      <c r="D139">
        <v>45864857</v>
      </c>
      <c r="E139">
        <v>1</v>
      </c>
      <c r="F139">
        <v>1</v>
      </c>
      <c r="G139">
        <v>1</v>
      </c>
      <c r="H139">
        <v>3</v>
      </c>
      <c r="I139" t="s">
        <v>160</v>
      </c>
      <c r="J139" t="s">
        <v>162</v>
      </c>
      <c r="K139" t="s">
        <v>161</v>
      </c>
      <c r="L139">
        <v>1339</v>
      </c>
      <c r="N139">
        <v>1007</v>
      </c>
      <c r="O139" t="s">
        <v>153</v>
      </c>
      <c r="P139" t="s">
        <v>153</v>
      </c>
      <c r="Q139">
        <v>1</v>
      </c>
      <c r="W139">
        <v>0</v>
      </c>
      <c r="X139">
        <v>1276216311</v>
      </c>
      <c r="Y139">
        <v>126</v>
      </c>
      <c r="AA139">
        <v>127.2</v>
      </c>
      <c r="AB139">
        <v>0</v>
      </c>
      <c r="AC139">
        <v>0</v>
      </c>
      <c r="AD139">
        <v>0</v>
      </c>
      <c r="AE139">
        <v>127.2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1</v>
      </c>
      <c r="AO139">
        <v>0</v>
      </c>
      <c r="AP139">
        <v>0</v>
      </c>
      <c r="AQ139">
        <v>0</v>
      </c>
      <c r="AR139">
        <v>0</v>
      </c>
      <c r="AS139" t="s">
        <v>3</v>
      </c>
      <c r="AT139">
        <v>126</v>
      </c>
      <c r="AU139" t="s">
        <v>3</v>
      </c>
      <c r="AV139">
        <v>0</v>
      </c>
      <c r="AW139">
        <v>1</v>
      </c>
      <c r="AX139">
        <v>-1</v>
      </c>
      <c r="AY139">
        <v>0</v>
      </c>
      <c r="AZ139">
        <v>0</v>
      </c>
      <c r="BA139" t="s">
        <v>3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Y139*Source!I253</f>
        <v>47.464199999999998</v>
      </c>
      <c r="CY139">
        <f>AA139</f>
        <v>127.2</v>
      </c>
      <c r="CZ139">
        <f>AE139</f>
        <v>127.2</v>
      </c>
      <c r="DA139">
        <f>AI139</f>
        <v>1</v>
      </c>
      <c r="DB139">
        <f>ROUND(ROUND(AT139*CZ139,2),1)</f>
        <v>16027.2</v>
      </c>
      <c r="DC139">
        <f>ROUND(ROUND(AT139*AG139,2),1)</f>
        <v>0</v>
      </c>
    </row>
    <row r="140" spans="1:107" x14ac:dyDescent="0.2">
      <c r="A140">
        <f>ROW(Source!A253)</f>
        <v>253</v>
      </c>
      <c r="B140">
        <v>50210945</v>
      </c>
      <c r="C140">
        <v>50211903</v>
      </c>
      <c r="D140">
        <v>45865353</v>
      </c>
      <c r="E140">
        <v>1</v>
      </c>
      <c r="F140">
        <v>1</v>
      </c>
      <c r="G140">
        <v>1</v>
      </c>
      <c r="H140">
        <v>3</v>
      </c>
      <c r="I140" t="s">
        <v>488</v>
      </c>
      <c r="J140" t="s">
        <v>489</v>
      </c>
      <c r="K140" t="s">
        <v>490</v>
      </c>
      <c r="L140">
        <v>1339</v>
      </c>
      <c r="N140">
        <v>1007</v>
      </c>
      <c r="O140" t="s">
        <v>153</v>
      </c>
      <c r="P140" t="s">
        <v>153</v>
      </c>
      <c r="Q140">
        <v>1</v>
      </c>
      <c r="W140">
        <v>0</v>
      </c>
      <c r="X140">
        <v>-1025641989</v>
      </c>
      <c r="Y140">
        <v>7</v>
      </c>
      <c r="AA140">
        <v>2.2599999999999998</v>
      </c>
      <c r="AB140">
        <v>0</v>
      </c>
      <c r="AC140">
        <v>0</v>
      </c>
      <c r="AD140">
        <v>0</v>
      </c>
      <c r="AE140">
        <v>2.2599999999999998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7</v>
      </c>
      <c r="AU140" t="s">
        <v>3</v>
      </c>
      <c r="AV140">
        <v>0</v>
      </c>
      <c r="AW140">
        <v>2</v>
      </c>
      <c r="AX140">
        <v>50211921</v>
      </c>
      <c r="AY140">
        <v>1</v>
      </c>
      <c r="AZ140">
        <v>0</v>
      </c>
      <c r="BA140">
        <v>137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Y140*Source!I253</f>
        <v>2.6368999999999998</v>
      </c>
      <c r="CY140">
        <f>AA140</f>
        <v>2.2599999999999998</v>
      </c>
      <c r="CZ140">
        <f>AE140</f>
        <v>2.2599999999999998</v>
      </c>
      <c r="DA140">
        <f>AI140</f>
        <v>1</v>
      </c>
      <c r="DB140">
        <f>ROUND(ROUND(AT140*CZ140,2),1)</f>
        <v>15.8</v>
      </c>
      <c r="DC140">
        <f>ROUND(ROUND(AT140*AG140,2),1)</f>
        <v>0</v>
      </c>
    </row>
    <row r="141" spans="1:107" x14ac:dyDescent="0.2">
      <c r="A141">
        <f>ROW(Source!A255)</f>
        <v>255</v>
      </c>
      <c r="B141">
        <v>50210945</v>
      </c>
      <c r="C141">
        <v>50211923</v>
      </c>
      <c r="D141">
        <v>45976664</v>
      </c>
      <c r="E141">
        <v>1</v>
      </c>
      <c r="F141">
        <v>1</v>
      </c>
      <c r="G141">
        <v>1</v>
      </c>
      <c r="H141">
        <v>1</v>
      </c>
      <c r="I141" t="s">
        <v>496</v>
      </c>
      <c r="J141" t="s">
        <v>3</v>
      </c>
      <c r="K141" t="s">
        <v>497</v>
      </c>
      <c r="L141">
        <v>1476</v>
      </c>
      <c r="N141">
        <v>1013</v>
      </c>
      <c r="O141" t="s">
        <v>447</v>
      </c>
      <c r="P141" t="s">
        <v>448</v>
      </c>
      <c r="Q141">
        <v>1</v>
      </c>
      <c r="W141">
        <v>0</v>
      </c>
      <c r="X141">
        <v>-1013341582</v>
      </c>
      <c r="Y141">
        <v>18.077999999999999</v>
      </c>
      <c r="AA141">
        <v>0</v>
      </c>
      <c r="AB141">
        <v>0</v>
      </c>
      <c r="AC141">
        <v>0</v>
      </c>
      <c r="AD141">
        <v>6.52</v>
      </c>
      <c r="AE141">
        <v>0</v>
      </c>
      <c r="AF141">
        <v>0</v>
      </c>
      <c r="AG141">
        <v>0</v>
      </c>
      <c r="AH141">
        <v>6.52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15.72</v>
      </c>
      <c r="AU141" t="s">
        <v>12</v>
      </c>
      <c r="AV141">
        <v>1</v>
      </c>
      <c r="AW141">
        <v>2</v>
      </c>
      <c r="AX141">
        <v>50211932</v>
      </c>
      <c r="AY141">
        <v>1</v>
      </c>
      <c r="AZ141">
        <v>0</v>
      </c>
      <c r="BA141">
        <v>138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Y141*Source!I255</f>
        <v>6.8099825999999997</v>
      </c>
      <c r="CY141">
        <f>AD141</f>
        <v>6.52</v>
      </c>
      <c r="CZ141">
        <f>AH141</f>
        <v>6.52</v>
      </c>
      <c r="DA141">
        <f>AL141</f>
        <v>1</v>
      </c>
      <c r="DB141">
        <f>ROUND((ROUND(AT141*CZ141,2)*1.15),1)</f>
        <v>117.9</v>
      </c>
      <c r="DC141">
        <f>ROUND((ROUND(AT141*AG141,2)*1.15),1)</f>
        <v>0</v>
      </c>
    </row>
    <row r="142" spans="1:107" x14ac:dyDescent="0.2">
      <c r="A142">
        <f>ROW(Source!A255)</f>
        <v>255</v>
      </c>
      <c r="B142">
        <v>50210945</v>
      </c>
      <c r="C142">
        <v>50211923</v>
      </c>
      <c r="D142">
        <v>121548</v>
      </c>
      <c r="E142">
        <v>1</v>
      </c>
      <c r="F142">
        <v>1</v>
      </c>
      <c r="G142">
        <v>1</v>
      </c>
      <c r="H142">
        <v>1</v>
      </c>
      <c r="I142" t="s">
        <v>25</v>
      </c>
      <c r="J142" t="s">
        <v>3</v>
      </c>
      <c r="K142" t="s">
        <v>463</v>
      </c>
      <c r="L142">
        <v>608254</v>
      </c>
      <c r="N142">
        <v>1013</v>
      </c>
      <c r="O142" t="s">
        <v>464</v>
      </c>
      <c r="P142" t="s">
        <v>464</v>
      </c>
      <c r="Q142">
        <v>1</v>
      </c>
      <c r="W142">
        <v>0</v>
      </c>
      <c r="X142">
        <v>-185737400</v>
      </c>
      <c r="Y142">
        <v>17.350000000000001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13.88</v>
      </c>
      <c r="AU142" t="s">
        <v>11</v>
      </c>
      <c r="AV142">
        <v>2</v>
      </c>
      <c r="AW142">
        <v>2</v>
      </c>
      <c r="AX142">
        <v>50211933</v>
      </c>
      <c r="AY142">
        <v>1</v>
      </c>
      <c r="AZ142">
        <v>0</v>
      </c>
      <c r="BA142">
        <v>139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Y142*Source!I255</f>
        <v>6.5357450000000004</v>
      </c>
      <c r="CY142">
        <f>AD142</f>
        <v>0</v>
      </c>
      <c r="CZ142">
        <f>AH142</f>
        <v>0</v>
      </c>
      <c r="DA142">
        <f>AL142</f>
        <v>1</v>
      </c>
      <c r="DB142">
        <f>ROUND((ROUND(AT142*CZ142,2)*1.25),1)</f>
        <v>0</v>
      </c>
      <c r="DC142">
        <f>ROUND((ROUND(AT142*AG142,2)*1.25),1)</f>
        <v>0</v>
      </c>
    </row>
    <row r="143" spans="1:107" x14ac:dyDescent="0.2">
      <c r="A143">
        <f>ROW(Source!A255)</f>
        <v>255</v>
      </c>
      <c r="B143">
        <v>50210945</v>
      </c>
      <c r="C143">
        <v>50211923</v>
      </c>
      <c r="D143">
        <v>45811426</v>
      </c>
      <c r="E143">
        <v>1</v>
      </c>
      <c r="F143">
        <v>1</v>
      </c>
      <c r="G143">
        <v>1</v>
      </c>
      <c r="H143">
        <v>2</v>
      </c>
      <c r="I143" t="s">
        <v>498</v>
      </c>
      <c r="J143" t="s">
        <v>499</v>
      </c>
      <c r="K143" t="s">
        <v>500</v>
      </c>
      <c r="L143">
        <v>45811227</v>
      </c>
      <c r="N143">
        <v>1013</v>
      </c>
      <c r="O143" t="s">
        <v>452</v>
      </c>
      <c r="P143" t="s">
        <v>452</v>
      </c>
      <c r="Q143">
        <v>1</v>
      </c>
      <c r="W143">
        <v>0</v>
      </c>
      <c r="X143">
        <v>-1615317198</v>
      </c>
      <c r="Y143">
        <v>5.3624999999999998</v>
      </c>
      <c r="AA143">
        <v>0</v>
      </c>
      <c r="AB143">
        <v>89.81</v>
      </c>
      <c r="AC143">
        <v>9.8800000000000008</v>
      </c>
      <c r="AD143">
        <v>0</v>
      </c>
      <c r="AE143">
        <v>0</v>
      </c>
      <c r="AF143">
        <v>89.81</v>
      </c>
      <c r="AG143">
        <v>9.8800000000000008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4.29</v>
      </c>
      <c r="AU143" t="s">
        <v>11</v>
      </c>
      <c r="AV143">
        <v>0</v>
      </c>
      <c r="AW143">
        <v>2</v>
      </c>
      <c r="AX143">
        <v>50211934</v>
      </c>
      <c r="AY143">
        <v>1</v>
      </c>
      <c r="AZ143">
        <v>0</v>
      </c>
      <c r="BA143">
        <v>140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Y143*Source!I255</f>
        <v>2.0200537499999998</v>
      </c>
      <c r="CY143">
        <f>AB143</f>
        <v>89.81</v>
      </c>
      <c r="CZ143">
        <f>AF143</f>
        <v>89.81</v>
      </c>
      <c r="DA143">
        <f>AJ143</f>
        <v>1</v>
      </c>
      <c r="DB143">
        <f>ROUND((ROUND(AT143*CZ143,2)*1.25),1)</f>
        <v>481.6</v>
      </c>
      <c r="DC143">
        <f>ROUND((ROUND(AT143*AG143,2)*1.25),1)</f>
        <v>53</v>
      </c>
    </row>
    <row r="144" spans="1:107" x14ac:dyDescent="0.2">
      <c r="A144">
        <f>ROW(Source!A255)</f>
        <v>255</v>
      </c>
      <c r="B144">
        <v>50210945</v>
      </c>
      <c r="C144">
        <v>50211923</v>
      </c>
      <c r="D144">
        <v>45811921</v>
      </c>
      <c r="E144">
        <v>1</v>
      </c>
      <c r="F144">
        <v>1</v>
      </c>
      <c r="G144">
        <v>1</v>
      </c>
      <c r="H144">
        <v>2</v>
      </c>
      <c r="I144" t="s">
        <v>501</v>
      </c>
      <c r="J144" t="s">
        <v>502</v>
      </c>
      <c r="K144" t="s">
        <v>503</v>
      </c>
      <c r="L144">
        <v>45811227</v>
      </c>
      <c r="N144">
        <v>1013</v>
      </c>
      <c r="O144" t="s">
        <v>452</v>
      </c>
      <c r="P144" t="s">
        <v>452</v>
      </c>
      <c r="Q144">
        <v>1</v>
      </c>
      <c r="W144">
        <v>0</v>
      </c>
      <c r="X144">
        <v>-1104063720</v>
      </c>
      <c r="Y144">
        <v>2.2124999999999999</v>
      </c>
      <c r="AA144">
        <v>0</v>
      </c>
      <c r="AB144">
        <v>122.76</v>
      </c>
      <c r="AC144">
        <v>13.26</v>
      </c>
      <c r="AD144">
        <v>0</v>
      </c>
      <c r="AE144">
        <v>0</v>
      </c>
      <c r="AF144">
        <v>122.76</v>
      </c>
      <c r="AG144">
        <v>13.26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1.77</v>
      </c>
      <c r="AU144" t="s">
        <v>11</v>
      </c>
      <c r="AV144">
        <v>0</v>
      </c>
      <c r="AW144">
        <v>2</v>
      </c>
      <c r="AX144">
        <v>50211935</v>
      </c>
      <c r="AY144">
        <v>1</v>
      </c>
      <c r="AZ144">
        <v>0</v>
      </c>
      <c r="BA144">
        <v>141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Y144*Source!I255</f>
        <v>0.83344874999999996</v>
      </c>
      <c r="CY144">
        <f>AB144</f>
        <v>122.76</v>
      </c>
      <c r="CZ144">
        <f>AF144</f>
        <v>122.76</v>
      </c>
      <c r="DA144">
        <f>AJ144</f>
        <v>1</v>
      </c>
      <c r="DB144">
        <f>ROUND((ROUND(AT144*CZ144,2)*1.25),1)</f>
        <v>271.60000000000002</v>
      </c>
      <c r="DC144">
        <f>ROUND((ROUND(AT144*AG144,2)*1.25),1)</f>
        <v>29.3</v>
      </c>
    </row>
    <row r="145" spans="1:107" x14ac:dyDescent="0.2">
      <c r="A145">
        <f>ROW(Source!A255)</f>
        <v>255</v>
      </c>
      <c r="B145">
        <v>50210945</v>
      </c>
      <c r="C145">
        <v>50211923</v>
      </c>
      <c r="D145">
        <v>45811951</v>
      </c>
      <c r="E145">
        <v>1</v>
      </c>
      <c r="F145">
        <v>1</v>
      </c>
      <c r="G145">
        <v>1</v>
      </c>
      <c r="H145">
        <v>2</v>
      </c>
      <c r="I145" t="s">
        <v>504</v>
      </c>
      <c r="J145" t="s">
        <v>505</v>
      </c>
      <c r="K145" t="s">
        <v>506</v>
      </c>
      <c r="L145">
        <v>45811227</v>
      </c>
      <c r="N145">
        <v>1013</v>
      </c>
      <c r="O145" t="s">
        <v>452</v>
      </c>
      <c r="P145" t="s">
        <v>452</v>
      </c>
      <c r="Q145">
        <v>1</v>
      </c>
      <c r="W145">
        <v>0</v>
      </c>
      <c r="X145">
        <v>1987113411</v>
      </c>
      <c r="Y145">
        <v>8.85</v>
      </c>
      <c r="AA145">
        <v>0</v>
      </c>
      <c r="AB145">
        <v>205.75</v>
      </c>
      <c r="AC145">
        <v>14.14</v>
      </c>
      <c r="AD145">
        <v>0</v>
      </c>
      <c r="AE145">
        <v>0</v>
      </c>
      <c r="AF145">
        <v>205.75</v>
      </c>
      <c r="AG145">
        <v>14.14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7.08</v>
      </c>
      <c r="AU145" t="s">
        <v>11</v>
      </c>
      <c r="AV145">
        <v>0</v>
      </c>
      <c r="AW145">
        <v>2</v>
      </c>
      <c r="AX145">
        <v>50211936</v>
      </c>
      <c r="AY145">
        <v>1</v>
      </c>
      <c r="AZ145">
        <v>0</v>
      </c>
      <c r="BA145">
        <v>142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Y145*Source!I255</f>
        <v>3.3337949999999998</v>
      </c>
      <c r="CY145">
        <f>AB145</f>
        <v>205.75</v>
      </c>
      <c r="CZ145">
        <f>AF145</f>
        <v>205.75</v>
      </c>
      <c r="DA145">
        <f>AJ145</f>
        <v>1</v>
      </c>
      <c r="DB145">
        <f>ROUND((ROUND(AT145*CZ145,2)*1.25),1)</f>
        <v>1820.9</v>
      </c>
      <c r="DC145">
        <f>ROUND((ROUND(AT145*AG145,2)*1.25),1)</f>
        <v>125.1</v>
      </c>
    </row>
    <row r="146" spans="1:107" x14ac:dyDescent="0.2">
      <c r="A146">
        <f>ROW(Source!A255)</f>
        <v>255</v>
      </c>
      <c r="B146">
        <v>50210945</v>
      </c>
      <c r="C146">
        <v>50211923</v>
      </c>
      <c r="D146">
        <v>45812009</v>
      </c>
      <c r="E146">
        <v>1</v>
      </c>
      <c r="F146">
        <v>1</v>
      </c>
      <c r="G146">
        <v>1</v>
      </c>
      <c r="H146">
        <v>2</v>
      </c>
      <c r="I146" t="s">
        <v>479</v>
      </c>
      <c r="J146" t="s">
        <v>480</v>
      </c>
      <c r="K146" t="s">
        <v>481</v>
      </c>
      <c r="L146">
        <v>45811227</v>
      </c>
      <c r="N146">
        <v>1013</v>
      </c>
      <c r="O146" t="s">
        <v>452</v>
      </c>
      <c r="P146" t="s">
        <v>452</v>
      </c>
      <c r="Q146">
        <v>1</v>
      </c>
      <c r="W146">
        <v>0</v>
      </c>
      <c r="X146">
        <v>-1075265446</v>
      </c>
      <c r="Y146">
        <v>0.92500000000000004</v>
      </c>
      <c r="AA146">
        <v>0</v>
      </c>
      <c r="AB146">
        <v>110</v>
      </c>
      <c r="AC146">
        <v>11.38</v>
      </c>
      <c r="AD146">
        <v>0</v>
      </c>
      <c r="AE146">
        <v>0</v>
      </c>
      <c r="AF146">
        <v>110</v>
      </c>
      <c r="AG146">
        <v>11.38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0.74</v>
      </c>
      <c r="AU146" t="s">
        <v>11</v>
      </c>
      <c r="AV146">
        <v>0</v>
      </c>
      <c r="AW146">
        <v>2</v>
      </c>
      <c r="AX146">
        <v>50211937</v>
      </c>
      <c r="AY146">
        <v>1</v>
      </c>
      <c r="AZ146">
        <v>0</v>
      </c>
      <c r="BA146">
        <v>143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Y146*Source!I255</f>
        <v>0.34844750000000002</v>
      </c>
      <c r="CY146">
        <f>AB146</f>
        <v>110</v>
      </c>
      <c r="CZ146">
        <f>AF146</f>
        <v>110</v>
      </c>
      <c r="DA146">
        <f>AJ146</f>
        <v>1</v>
      </c>
      <c r="DB146">
        <f>ROUND((ROUND(AT146*CZ146,2)*1.25),1)</f>
        <v>101.8</v>
      </c>
      <c r="DC146">
        <f>ROUND((ROUND(AT146*AG146,2)*1.25),1)</f>
        <v>10.5</v>
      </c>
    </row>
    <row r="147" spans="1:107" x14ac:dyDescent="0.2">
      <c r="A147">
        <f>ROW(Source!A255)</f>
        <v>255</v>
      </c>
      <c r="B147">
        <v>50210945</v>
      </c>
      <c r="C147">
        <v>50211923</v>
      </c>
      <c r="D147">
        <v>45864906</v>
      </c>
      <c r="E147">
        <v>1</v>
      </c>
      <c r="F147">
        <v>1</v>
      </c>
      <c r="G147">
        <v>1</v>
      </c>
      <c r="H147">
        <v>3</v>
      </c>
      <c r="I147" t="s">
        <v>151</v>
      </c>
      <c r="J147" t="s">
        <v>154</v>
      </c>
      <c r="K147" t="s">
        <v>152</v>
      </c>
      <c r="L147">
        <v>1339</v>
      </c>
      <c r="N147">
        <v>1007</v>
      </c>
      <c r="O147" t="s">
        <v>153</v>
      </c>
      <c r="P147" t="s">
        <v>153</v>
      </c>
      <c r="Q147">
        <v>1</v>
      </c>
      <c r="W147">
        <v>0</v>
      </c>
      <c r="X147">
        <v>-215471597</v>
      </c>
      <c r="Y147">
        <v>110</v>
      </c>
      <c r="AA147">
        <v>51.17</v>
      </c>
      <c r="AB147">
        <v>0</v>
      </c>
      <c r="AC147">
        <v>0</v>
      </c>
      <c r="AD147">
        <v>0</v>
      </c>
      <c r="AE147">
        <v>51.17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1</v>
      </c>
      <c r="AO147">
        <v>0</v>
      </c>
      <c r="AP147">
        <v>0</v>
      </c>
      <c r="AQ147">
        <v>0</v>
      </c>
      <c r="AR147">
        <v>0</v>
      </c>
      <c r="AS147" t="s">
        <v>3</v>
      </c>
      <c r="AT147">
        <v>110</v>
      </c>
      <c r="AU147" t="s">
        <v>3</v>
      </c>
      <c r="AV147">
        <v>0</v>
      </c>
      <c r="AW147">
        <v>1</v>
      </c>
      <c r="AX147">
        <v>-1</v>
      </c>
      <c r="AY147">
        <v>0</v>
      </c>
      <c r="AZ147">
        <v>0</v>
      </c>
      <c r="BA147" t="s">
        <v>3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Y147*Source!I255</f>
        <v>41.436999999999998</v>
      </c>
      <c r="CY147">
        <f>AA147</f>
        <v>51.17</v>
      </c>
      <c r="CZ147">
        <f>AE147</f>
        <v>51.17</v>
      </c>
      <c r="DA147">
        <f>AI147</f>
        <v>1</v>
      </c>
      <c r="DB147">
        <f>ROUND(ROUND(AT147*CZ147,2),1)</f>
        <v>5628.7</v>
      </c>
      <c r="DC147">
        <f>ROUND(ROUND(AT147*AG147,2),1)</f>
        <v>0</v>
      </c>
    </row>
    <row r="148" spans="1:107" x14ac:dyDescent="0.2">
      <c r="A148">
        <f>ROW(Source!A255)</f>
        <v>255</v>
      </c>
      <c r="B148">
        <v>50210945</v>
      </c>
      <c r="C148">
        <v>50211923</v>
      </c>
      <c r="D148">
        <v>45865353</v>
      </c>
      <c r="E148">
        <v>1</v>
      </c>
      <c r="F148">
        <v>1</v>
      </c>
      <c r="G148">
        <v>1</v>
      </c>
      <c r="H148">
        <v>3</v>
      </c>
      <c r="I148" t="s">
        <v>488</v>
      </c>
      <c r="J148" t="s">
        <v>489</v>
      </c>
      <c r="K148" t="s">
        <v>490</v>
      </c>
      <c r="L148">
        <v>1339</v>
      </c>
      <c r="N148">
        <v>1007</v>
      </c>
      <c r="O148" t="s">
        <v>153</v>
      </c>
      <c r="P148" t="s">
        <v>153</v>
      </c>
      <c r="Q148">
        <v>1</v>
      </c>
      <c r="W148">
        <v>0</v>
      </c>
      <c r="X148">
        <v>-1025641989</v>
      </c>
      <c r="Y148">
        <v>5</v>
      </c>
      <c r="AA148">
        <v>2.2599999999999998</v>
      </c>
      <c r="AB148">
        <v>0</v>
      </c>
      <c r="AC148">
        <v>0</v>
      </c>
      <c r="AD148">
        <v>0</v>
      </c>
      <c r="AE148">
        <v>2.2599999999999998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3</v>
      </c>
      <c r="AT148">
        <v>5</v>
      </c>
      <c r="AU148" t="s">
        <v>3</v>
      </c>
      <c r="AV148">
        <v>0</v>
      </c>
      <c r="AW148">
        <v>2</v>
      </c>
      <c r="AX148">
        <v>50211939</v>
      </c>
      <c r="AY148">
        <v>1</v>
      </c>
      <c r="AZ148">
        <v>0</v>
      </c>
      <c r="BA148">
        <v>145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Y148*Source!I255</f>
        <v>1.8835</v>
      </c>
      <c r="CY148">
        <f>AA148</f>
        <v>2.2599999999999998</v>
      </c>
      <c r="CZ148">
        <f>AE148</f>
        <v>2.2599999999999998</v>
      </c>
      <c r="DA148">
        <f>AI148</f>
        <v>1</v>
      </c>
      <c r="DB148">
        <f>ROUND(ROUND(AT148*CZ148,2),1)</f>
        <v>11.3</v>
      </c>
      <c r="DC148">
        <f>ROUND(ROUND(AT148*AG148,2),1)</f>
        <v>0</v>
      </c>
    </row>
    <row r="149" spans="1:107" x14ac:dyDescent="0.2">
      <c r="A149">
        <f>ROW(Source!A257)</f>
        <v>257</v>
      </c>
      <c r="B149">
        <v>50210945</v>
      </c>
      <c r="C149">
        <v>50211941</v>
      </c>
      <c r="D149">
        <v>45978298</v>
      </c>
      <c r="E149">
        <v>1</v>
      </c>
      <c r="F149">
        <v>1</v>
      </c>
      <c r="G149">
        <v>1</v>
      </c>
      <c r="H149">
        <v>1</v>
      </c>
      <c r="I149" t="s">
        <v>560</v>
      </c>
      <c r="J149" t="s">
        <v>3</v>
      </c>
      <c r="K149" t="s">
        <v>561</v>
      </c>
      <c r="L149">
        <v>1476</v>
      </c>
      <c r="N149">
        <v>1013</v>
      </c>
      <c r="O149" t="s">
        <v>447</v>
      </c>
      <c r="P149" t="s">
        <v>448</v>
      </c>
      <c r="Q149">
        <v>1</v>
      </c>
      <c r="W149">
        <v>0</v>
      </c>
      <c r="X149">
        <v>-1976580471</v>
      </c>
      <c r="Y149">
        <v>35.362499999999997</v>
      </c>
      <c r="AA149">
        <v>0</v>
      </c>
      <c r="AB149">
        <v>0</v>
      </c>
      <c r="AC149">
        <v>0</v>
      </c>
      <c r="AD149">
        <v>6.46</v>
      </c>
      <c r="AE149">
        <v>0</v>
      </c>
      <c r="AF149">
        <v>0</v>
      </c>
      <c r="AG149">
        <v>0</v>
      </c>
      <c r="AH149">
        <v>6.46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30.75</v>
      </c>
      <c r="AU149" t="s">
        <v>12</v>
      </c>
      <c r="AV149">
        <v>1</v>
      </c>
      <c r="AW149">
        <v>2</v>
      </c>
      <c r="AX149">
        <v>50211949</v>
      </c>
      <c r="AY149">
        <v>1</v>
      </c>
      <c r="AZ149">
        <v>0</v>
      </c>
      <c r="BA149">
        <v>146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Y149*Source!I257</f>
        <v>13.321053749999999</v>
      </c>
      <c r="CY149">
        <f>AD149</f>
        <v>6.46</v>
      </c>
      <c r="CZ149">
        <f>AH149</f>
        <v>6.46</v>
      </c>
      <c r="DA149">
        <f>AL149</f>
        <v>1</v>
      </c>
      <c r="DB149">
        <f>ROUND((ROUND(AT149*CZ149,2)*1.15),1)</f>
        <v>228.4</v>
      </c>
      <c r="DC149">
        <f>ROUND((ROUND(AT149*AG149,2)*1.15),1)</f>
        <v>0</v>
      </c>
    </row>
    <row r="150" spans="1:107" x14ac:dyDescent="0.2">
      <c r="A150">
        <f>ROW(Source!A257)</f>
        <v>257</v>
      </c>
      <c r="B150">
        <v>50210945</v>
      </c>
      <c r="C150">
        <v>50211941</v>
      </c>
      <c r="D150">
        <v>121548</v>
      </c>
      <c r="E150">
        <v>1</v>
      </c>
      <c r="F150">
        <v>1</v>
      </c>
      <c r="G150">
        <v>1</v>
      </c>
      <c r="H150">
        <v>1</v>
      </c>
      <c r="I150" t="s">
        <v>25</v>
      </c>
      <c r="J150" t="s">
        <v>3</v>
      </c>
      <c r="K150" t="s">
        <v>463</v>
      </c>
      <c r="L150">
        <v>608254</v>
      </c>
      <c r="N150">
        <v>1013</v>
      </c>
      <c r="O150" t="s">
        <v>464</v>
      </c>
      <c r="P150" t="s">
        <v>464</v>
      </c>
      <c r="Q150">
        <v>1</v>
      </c>
      <c r="W150">
        <v>0</v>
      </c>
      <c r="X150">
        <v>-185737400</v>
      </c>
      <c r="Y150">
        <v>5.5125000000000002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4.41</v>
      </c>
      <c r="AU150" t="s">
        <v>11</v>
      </c>
      <c r="AV150">
        <v>2</v>
      </c>
      <c r="AW150">
        <v>2</v>
      </c>
      <c r="AX150">
        <v>50211950</v>
      </c>
      <c r="AY150">
        <v>1</v>
      </c>
      <c r="AZ150">
        <v>0</v>
      </c>
      <c r="BA150">
        <v>147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Y150*Source!I257</f>
        <v>2.0765587499999998</v>
      </c>
      <c r="CY150">
        <f>AD150</f>
        <v>0</v>
      </c>
      <c r="CZ150">
        <f>AH150</f>
        <v>0</v>
      </c>
      <c r="DA150">
        <f>AL150</f>
        <v>1</v>
      </c>
      <c r="DB150">
        <f>ROUND((ROUND(AT150*CZ150,2)*1.25),1)</f>
        <v>0</v>
      </c>
      <c r="DC150">
        <f>ROUND((ROUND(AT150*AG150,2)*1.25),1)</f>
        <v>0</v>
      </c>
    </row>
    <row r="151" spans="1:107" x14ac:dyDescent="0.2">
      <c r="A151">
        <f>ROW(Source!A257)</f>
        <v>257</v>
      </c>
      <c r="B151">
        <v>50210945</v>
      </c>
      <c r="C151">
        <v>50211941</v>
      </c>
      <c r="D151">
        <v>45811709</v>
      </c>
      <c r="E151">
        <v>1</v>
      </c>
      <c r="F151">
        <v>1</v>
      </c>
      <c r="G151">
        <v>1</v>
      </c>
      <c r="H151">
        <v>2</v>
      </c>
      <c r="I151" t="s">
        <v>468</v>
      </c>
      <c r="J151" t="s">
        <v>469</v>
      </c>
      <c r="K151" t="s">
        <v>470</v>
      </c>
      <c r="L151">
        <v>45811227</v>
      </c>
      <c r="N151">
        <v>1013</v>
      </c>
      <c r="O151" t="s">
        <v>452</v>
      </c>
      <c r="P151" t="s">
        <v>452</v>
      </c>
      <c r="Q151">
        <v>1</v>
      </c>
      <c r="W151">
        <v>0</v>
      </c>
      <c r="X151">
        <v>-1764643830</v>
      </c>
      <c r="Y151">
        <v>3.4624999999999999</v>
      </c>
      <c r="AA151">
        <v>0</v>
      </c>
      <c r="AB151">
        <v>79.75</v>
      </c>
      <c r="AC151">
        <v>13.26</v>
      </c>
      <c r="AD151">
        <v>0</v>
      </c>
      <c r="AE151">
        <v>0</v>
      </c>
      <c r="AF151">
        <v>79.75</v>
      </c>
      <c r="AG151">
        <v>13.26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2.77</v>
      </c>
      <c r="AU151" t="s">
        <v>11</v>
      </c>
      <c r="AV151">
        <v>0</v>
      </c>
      <c r="AW151">
        <v>2</v>
      </c>
      <c r="AX151">
        <v>50211951</v>
      </c>
      <c r="AY151">
        <v>1</v>
      </c>
      <c r="AZ151">
        <v>0</v>
      </c>
      <c r="BA151">
        <v>148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Y151*Source!I257</f>
        <v>1.30432375</v>
      </c>
      <c r="CY151">
        <f>AB151</f>
        <v>79.75</v>
      </c>
      <c r="CZ151">
        <f>AF151</f>
        <v>79.75</v>
      </c>
      <c r="DA151">
        <f>AJ151</f>
        <v>1</v>
      </c>
      <c r="DB151">
        <f>ROUND((ROUND(AT151*CZ151,2)*1.25),1)</f>
        <v>276.10000000000002</v>
      </c>
      <c r="DC151">
        <f>ROUND((ROUND(AT151*AG151,2)*1.25),1)</f>
        <v>45.9</v>
      </c>
    </row>
    <row r="152" spans="1:107" x14ac:dyDescent="0.2">
      <c r="A152">
        <f>ROW(Source!A257)</f>
        <v>257</v>
      </c>
      <c r="B152">
        <v>50210945</v>
      </c>
      <c r="C152">
        <v>50211941</v>
      </c>
      <c r="D152">
        <v>45811950</v>
      </c>
      <c r="E152">
        <v>1</v>
      </c>
      <c r="F152">
        <v>1</v>
      </c>
      <c r="G152">
        <v>1</v>
      </c>
      <c r="H152">
        <v>2</v>
      </c>
      <c r="I152" t="s">
        <v>562</v>
      </c>
      <c r="J152" t="s">
        <v>563</v>
      </c>
      <c r="K152" t="s">
        <v>564</v>
      </c>
      <c r="L152">
        <v>45811227</v>
      </c>
      <c r="N152">
        <v>1013</v>
      </c>
      <c r="O152" t="s">
        <v>452</v>
      </c>
      <c r="P152" t="s">
        <v>452</v>
      </c>
      <c r="Q152">
        <v>1</v>
      </c>
      <c r="W152">
        <v>0</v>
      </c>
      <c r="X152">
        <v>-205235896</v>
      </c>
      <c r="Y152">
        <v>2.0499999999999998</v>
      </c>
      <c r="AA152">
        <v>0</v>
      </c>
      <c r="AB152">
        <v>156.06</v>
      </c>
      <c r="AC152">
        <v>14.14</v>
      </c>
      <c r="AD152">
        <v>0</v>
      </c>
      <c r="AE152">
        <v>0</v>
      </c>
      <c r="AF152">
        <v>156.06</v>
      </c>
      <c r="AG152">
        <v>14.14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1.64</v>
      </c>
      <c r="AU152" t="s">
        <v>11</v>
      </c>
      <c r="AV152">
        <v>0</v>
      </c>
      <c r="AW152">
        <v>2</v>
      </c>
      <c r="AX152">
        <v>50211952</v>
      </c>
      <c r="AY152">
        <v>1</v>
      </c>
      <c r="AZ152">
        <v>0</v>
      </c>
      <c r="BA152">
        <v>149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Y152*Source!I257</f>
        <v>0.77223499999999989</v>
      </c>
      <c r="CY152">
        <f>AB152</f>
        <v>156.06</v>
      </c>
      <c r="CZ152">
        <f>AF152</f>
        <v>156.06</v>
      </c>
      <c r="DA152">
        <f>AJ152</f>
        <v>1</v>
      </c>
      <c r="DB152">
        <f>ROUND((ROUND(AT152*CZ152,2)*1.25),1)</f>
        <v>319.89999999999998</v>
      </c>
      <c r="DC152">
        <f>ROUND((ROUND(AT152*AG152,2)*1.25),1)</f>
        <v>29</v>
      </c>
    </row>
    <row r="153" spans="1:107" x14ac:dyDescent="0.2">
      <c r="A153">
        <f>ROW(Source!A257)</f>
        <v>257</v>
      </c>
      <c r="B153">
        <v>50210945</v>
      </c>
      <c r="C153">
        <v>50211941</v>
      </c>
      <c r="D153">
        <v>45813321</v>
      </c>
      <c r="E153">
        <v>1</v>
      </c>
      <c r="F153">
        <v>1</v>
      </c>
      <c r="G153">
        <v>1</v>
      </c>
      <c r="H153">
        <v>2</v>
      </c>
      <c r="I153" t="s">
        <v>532</v>
      </c>
      <c r="J153" t="s">
        <v>533</v>
      </c>
      <c r="K153" t="s">
        <v>534</v>
      </c>
      <c r="L153">
        <v>45811227</v>
      </c>
      <c r="N153">
        <v>1013</v>
      </c>
      <c r="O153" t="s">
        <v>452</v>
      </c>
      <c r="P153" t="s">
        <v>452</v>
      </c>
      <c r="Q153">
        <v>1</v>
      </c>
      <c r="W153">
        <v>0</v>
      </c>
      <c r="X153">
        <v>771999048</v>
      </c>
      <c r="Y153">
        <v>0.375</v>
      </c>
      <c r="AA153">
        <v>0</v>
      </c>
      <c r="AB153">
        <v>86.55</v>
      </c>
      <c r="AC153">
        <v>0</v>
      </c>
      <c r="AD153">
        <v>0</v>
      </c>
      <c r="AE153">
        <v>0</v>
      </c>
      <c r="AF153">
        <v>86.55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0.3</v>
      </c>
      <c r="AU153" t="s">
        <v>11</v>
      </c>
      <c r="AV153">
        <v>0</v>
      </c>
      <c r="AW153">
        <v>2</v>
      </c>
      <c r="AX153">
        <v>50211953</v>
      </c>
      <c r="AY153">
        <v>1</v>
      </c>
      <c r="AZ153">
        <v>0</v>
      </c>
      <c r="BA153">
        <v>150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Y153*Source!I257</f>
        <v>0.14126249999999999</v>
      </c>
      <c r="CY153">
        <f>AB153</f>
        <v>86.55</v>
      </c>
      <c r="CZ153">
        <f>AF153</f>
        <v>86.55</v>
      </c>
      <c r="DA153">
        <f>AJ153</f>
        <v>1</v>
      </c>
      <c r="DB153">
        <f>ROUND((ROUND(AT153*CZ153,2)*1.25),1)</f>
        <v>32.5</v>
      </c>
      <c r="DC153">
        <f>ROUND((ROUND(AT153*AG153,2)*1.25),1)</f>
        <v>0</v>
      </c>
    </row>
    <row r="154" spans="1:107" x14ac:dyDescent="0.2">
      <c r="A154">
        <f>ROW(Source!A257)</f>
        <v>257</v>
      </c>
      <c r="B154">
        <v>50210945</v>
      </c>
      <c r="C154">
        <v>50211941</v>
      </c>
      <c r="D154">
        <v>45815194</v>
      </c>
      <c r="E154">
        <v>1</v>
      </c>
      <c r="F154">
        <v>1</v>
      </c>
      <c r="G154">
        <v>1</v>
      </c>
      <c r="H154">
        <v>3</v>
      </c>
      <c r="I154" t="s">
        <v>538</v>
      </c>
      <c r="J154" t="s">
        <v>539</v>
      </c>
      <c r="K154" t="s">
        <v>540</v>
      </c>
      <c r="L154">
        <v>1348</v>
      </c>
      <c r="N154">
        <v>1009</v>
      </c>
      <c r="O154" t="s">
        <v>190</v>
      </c>
      <c r="P154" t="s">
        <v>190</v>
      </c>
      <c r="Q154">
        <v>1000</v>
      </c>
      <c r="W154">
        <v>0</v>
      </c>
      <c r="X154">
        <v>314505374</v>
      </c>
      <c r="Y154">
        <v>1.2999999999999999E-4</v>
      </c>
      <c r="AA154">
        <v>5469.5</v>
      </c>
      <c r="AB154">
        <v>0</v>
      </c>
      <c r="AC154">
        <v>0</v>
      </c>
      <c r="AD154">
        <v>0</v>
      </c>
      <c r="AE154">
        <v>5469.5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1.2999999999999999E-4</v>
      </c>
      <c r="AU154" t="s">
        <v>3</v>
      </c>
      <c r="AV154">
        <v>0</v>
      </c>
      <c r="AW154">
        <v>2</v>
      </c>
      <c r="AX154">
        <v>50211954</v>
      </c>
      <c r="AY154">
        <v>1</v>
      </c>
      <c r="AZ154">
        <v>0</v>
      </c>
      <c r="BA154">
        <v>151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Y154*Source!I257</f>
        <v>4.8970999999999996E-5</v>
      </c>
      <c r="CY154">
        <f>AA154</f>
        <v>5469.5</v>
      </c>
      <c r="CZ154">
        <f>AE154</f>
        <v>5469.5</v>
      </c>
      <c r="DA154">
        <f>AI154</f>
        <v>1</v>
      </c>
      <c r="DB154">
        <f>ROUND(ROUND(AT154*CZ154,2),1)</f>
        <v>0.7</v>
      </c>
      <c r="DC154">
        <f>ROUND(ROUND(AT154*AG154,2),1)</f>
        <v>0</v>
      </c>
    </row>
    <row r="155" spans="1:107" x14ac:dyDescent="0.2">
      <c r="A155">
        <f>ROW(Source!A257)</f>
        <v>257</v>
      </c>
      <c r="B155">
        <v>50210945</v>
      </c>
      <c r="C155">
        <v>50211941</v>
      </c>
      <c r="D155">
        <v>45822657</v>
      </c>
      <c r="E155">
        <v>1</v>
      </c>
      <c r="F155">
        <v>1</v>
      </c>
      <c r="G155">
        <v>1</v>
      </c>
      <c r="H155">
        <v>3</v>
      </c>
      <c r="I155" t="s">
        <v>264</v>
      </c>
      <c r="J155" t="s">
        <v>267</v>
      </c>
      <c r="K155" t="s">
        <v>265</v>
      </c>
      <c r="L155">
        <v>1327</v>
      </c>
      <c r="N155">
        <v>1005</v>
      </c>
      <c r="O155" t="s">
        <v>266</v>
      </c>
      <c r="P155" t="s">
        <v>266</v>
      </c>
      <c r="Q155">
        <v>1</v>
      </c>
      <c r="W155">
        <v>0</v>
      </c>
      <c r="X155">
        <v>1165642411</v>
      </c>
      <c r="Y155">
        <v>1000</v>
      </c>
      <c r="AA155">
        <v>2.68</v>
      </c>
      <c r="AB155">
        <v>0</v>
      </c>
      <c r="AC155">
        <v>0</v>
      </c>
      <c r="AD155">
        <v>0</v>
      </c>
      <c r="AE155">
        <v>2.68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1</v>
      </c>
      <c r="AO155">
        <v>0</v>
      </c>
      <c r="AP155">
        <v>0</v>
      </c>
      <c r="AQ155">
        <v>0</v>
      </c>
      <c r="AR155">
        <v>0</v>
      </c>
      <c r="AS155" t="s">
        <v>3</v>
      </c>
      <c r="AT155">
        <v>1000</v>
      </c>
      <c r="AU155" t="s">
        <v>3</v>
      </c>
      <c r="AV155">
        <v>0</v>
      </c>
      <c r="AW155">
        <v>1</v>
      </c>
      <c r="AX155">
        <v>-1</v>
      </c>
      <c r="AY155">
        <v>0</v>
      </c>
      <c r="AZ155">
        <v>0</v>
      </c>
      <c r="BA155" t="s">
        <v>3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Y155*Source!I257</f>
        <v>376.7</v>
      </c>
      <c r="CY155">
        <f>AA155</f>
        <v>2.68</v>
      </c>
      <c r="CZ155">
        <f>AE155</f>
        <v>2.68</v>
      </c>
      <c r="DA155">
        <f>AI155</f>
        <v>1</v>
      </c>
      <c r="DB155">
        <f>ROUND(ROUND(AT155*CZ155,2),1)</f>
        <v>2680</v>
      </c>
      <c r="DC155">
        <f>ROUND(ROUND(AT155*AG155,2),1)</f>
        <v>0</v>
      </c>
    </row>
    <row r="156" spans="1:107" x14ac:dyDescent="0.2">
      <c r="A156">
        <f>ROW(Source!A259)</f>
        <v>259</v>
      </c>
      <c r="B156">
        <v>50210945</v>
      </c>
      <c r="C156">
        <v>50211957</v>
      </c>
      <c r="D156">
        <v>45976891</v>
      </c>
      <c r="E156">
        <v>1</v>
      </c>
      <c r="F156">
        <v>1</v>
      </c>
      <c r="G156">
        <v>1</v>
      </c>
      <c r="H156">
        <v>1</v>
      </c>
      <c r="I156" t="s">
        <v>565</v>
      </c>
      <c r="J156" t="s">
        <v>3</v>
      </c>
      <c r="K156" t="s">
        <v>566</v>
      </c>
      <c r="L156">
        <v>1476</v>
      </c>
      <c r="N156">
        <v>1013</v>
      </c>
      <c r="O156" t="s">
        <v>447</v>
      </c>
      <c r="P156" t="s">
        <v>448</v>
      </c>
      <c r="Q156">
        <v>1</v>
      </c>
      <c r="W156">
        <v>0</v>
      </c>
      <c r="X156">
        <v>-295123421</v>
      </c>
      <c r="Y156">
        <v>48.76</v>
      </c>
      <c r="AA156">
        <v>0</v>
      </c>
      <c r="AB156">
        <v>0</v>
      </c>
      <c r="AC156">
        <v>0</v>
      </c>
      <c r="AD156">
        <v>6.65</v>
      </c>
      <c r="AE156">
        <v>0</v>
      </c>
      <c r="AF156">
        <v>0</v>
      </c>
      <c r="AG156">
        <v>0</v>
      </c>
      <c r="AH156">
        <v>6.65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42.4</v>
      </c>
      <c r="AU156" t="s">
        <v>12</v>
      </c>
      <c r="AV156">
        <v>1</v>
      </c>
      <c r="AW156">
        <v>2</v>
      </c>
      <c r="AX156">
        <v>50211968</v>
      </c>
      <c r="AY156">
        <v>1</v>
      </c>
      <c r="AZ156">
        <v>0</v>
      </c>
      <c r="BA156">
        <v>153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Y156*Source!I259</f>
        <v>183.688672</v>
      </c>
      <c r="CY156">
        <f>AD156</f>
        <v>6.65</v>
      </c>
      <c r="CZ156">
        <f>AH156</f>
        <v>6.65</v>
      </c>
      <c r="DA156">
        <f>AL156</f>
        <v>1</v>
      </c>
      <c r="DB156">
        <f>ROUND((ROUND(AT156*CZ156,2)*1.15),1)</f>
        <v>324.3</v>
      </c>
      <c r="DC156">
        <f>ROUND((ROUND(AT156*AG156,2)*1.15),1)</f>
        <v>0</v>
      </c>
    </row>
    <row r="157" spans="1:107" x14ac:dyDescent="0.2">
      <c r="A157">
        <f>ROW(Source!A259)</f>
        <v>259</v>
      </c>
      <c r="B157">
        <v>50210945</v>
      </c>
      <c r="C157">
        <v>50211957</v>
      </c>
      <c r="D157">
        <v>121548</v>
      </c>
      <c r="E157">
        <v>1</v>
      </c>
      <c r="F157">
        <v>1</v>
      </c>
      <c r="G157">
        <v>1</v>
      </c>
      <c r="H157">
        <v>1</v>
      </c>
      <c r="I157" t="s">
        <v>25</v>
      </c>
      <c r="J157" t="s">
        <v>3</v>
      </c>
      <c r="K157" t="s">
        <v>463</v>
      </c>
      <c r="L157">
        <v>608254</v>
      </c>
      <c r="N157">
        <v>1013</v>
      </c>
      <c r="O157" t="s">
        <v>464</v>
      </c>
      <c r="P157" t="s">
        <v>464</v>
      </c>
      <c r="Q157">
        <v>1</v>
      </c>
      <c r="W157">
        <v>0</v>
      </c>
      <c r="X157">
        <v>-185737400</v>
      </c>
      <c r="Y157">
        <v>0.52500000000000002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0.42</v>
      </c>
      <c r="AU157" t="s">
        <v>11</v>
      </c>
      <c r="AV157">
        <v>2</v>
      </c>
      <c r="AW157">
        <v>2</v>
      </c>
      <c r="AX157">
        <v>50211969</v>
      </c>
      <c r="AY157">
        <v>1</v>
      </c>
      <c r="AZ157">
        <v>0</v>
      </c>
      <c r="BA157">
        <v>154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Y157*Source!I259</f>
        <v>1.9777800000000001</v>
      </c>
      <c r="CY157">
        <f>AD157</f>
        <v>0</v>
      </c>
      <c r="CZ157">
        <f>AH157</f>
        <v>0</v>
      </c>
      <c r="DA157">
        <f>AL157</f>
        <v>1</v>
      </c>
      <c r="DB157">
        <f>ROUND((ROUND(AT157*CZ157,2)*1.25),1)</f>
        <v>0</v>
      </c>
      <c r="DC157">
        <f>ROUND((ROUND(AT157*AG157,2)*1.25),1)</f>
        <v>0</v>
      </c>
    </row>
    <row r="158" spans="1:107" x14ac:dyDescent="0.2">
      <c r="A158">
        <f>ROW(Source!A259)</f>
        <v>259</v>
      </c>
      <c r="B158">
        <v>50210945</v>
      </c>
      <c r="C158">
        <v>50211957</v>
      </c>
      <c r="D158">
        <v>45811353</v>
      </c>
      <c r="E158">
        <v>1</v>
      </c>
      <c r="F158">
        <v>1</v>
      </c>
      <c r="G158">
        <v>1</v>
      </c>
      <c r="H158">
        <v>2</v>
      </c>
      <c r="I158" t="s">
        <v>517</v>
      </c>
      <c r="J158" t="s">
        <v>518</v>
      </c>
      <c r="K158" t="s">
        <v>519</v>
      </c>
      <c r="L158">
        <v>45811227</v>
      </c>
      <c r="N158">
        <v>1013</v>
      </c>
      <c r="O158" t="s">
        <v>452</v>
      </c>
      <c r="P158" t="s">
        <v>452</v>
      </c>
      <c r="Q158">
        <v>1</v>
      </c>
      <c r="W158">
        <v>0</v>
      </c>
      <c r="X158">
        <v>642700064</v>
      </c>
      <c r="Y158">
        <v>0.51249999999999996</v>
      </c>
      <c r="AA158">
        <v>0</v>
      </c>
      <c r="AB158">
        <v>111.75</v>
      </c>
      <c r="AC158">
        <v>13.26</v>
      </c>
      <c r="AD158">
        <v>0</v>
      </c>
      <c r="AE158">
        <v>0</v>
      </c>
      <c r="AF158">
        <v>111.75</v>
      </c>
      <c r="AG158">
        <v>13.26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0.41</v>
      </c>
      <c r="AU158" t="s">
        <v>11</v>
      </c>
      <c r="AV158">
        <v>0</v>
      </c>
      <c r="AW158">
        <v>2</v>
      </c>
      <c r="AX158">
        <v>50211970</v>
      </c>
      <c r="AY158">
        <v>1</v>
      </c>
      <c r="AZ158">
        <v>0</v>
      </c>
      <c r="BA158">
        <v>155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Y158*Source!I259</f>
        <v>1.9306899999999998</v>
      </c>
      <c r="CY158">
        <f>AB158</f>
        <v>111.75</v>
      </c>
      <c r="CZ158">
        <f>AF158</f>
        <v>111.75</v>
      </c>
      <c r="DA158">
        <f>AJ158</f>
        <v>1</v>
      </c>
      <c r="DB158">
        <f>ROUND((ROUND(AT158*CZ158,2)*1.25),1)</f>
        <v>57.3</v>
      </c>
      <c r="DC158">
        <f>ROUND((ROUND(AT158*AG158,2)*1.25),1)</f>
        <v>6.8</v>
      </c>
    </row>
    <row r="159" spans="1:107" x14ac:dyDescent="0.2">
      <c r="A159">
        <f>ROW(Source!A259)</f>
        <v>259</v>
      </c>
      <c r="B159">
        <v>50210945</v>
      </c>
      <c r="C159">
        <v>50211957</v>
      </c>
      <c r="D159">
        <v>45811426</v>
      </c>
      <c r="E159">
        <v>1</v>
      </c>
      <c r="F159">
        <v>1</v>
      </c>
      <c r="G159">
        <v>1</v>
      </c>
      <c r="H159">
        <v>2</v>
      </c>
      <c r="I159" t="s">
        <v>498</v>
      </c>
      <c r="J159" t="s">
        <v>499</v>
      </c>
      <c r="K159" t="s">
        <v>500</v>
      </c>
      <c r="L159">
        <v>45811227</v>
      </c>
      <c r="N159">
        <v>1013</v>
      </c>
      <c r="O159" t="s">
        <v>452</v>
      </c>
      <c r="P159" t="s">
        <v>452</v>
      </c>
      <c r="Q159">
        <v>1</v>
      </c>
      <c r="W159">
        <v>0</v>
      </c>
      <c r="X159">
        <v>-1615317198</v>
      </c>
      <c r="Y159">
        <v>1.2500000000000001E-2</v>
      </c>
      <c r="AA159">
        <v>0</v>
      </c>
      <c r="AB159">
        <v>89.81</v>
      </c>
      <c r="AC159">
        <v>9.8800000000000008</v>
      </c>
      <c r="AD159">
        <v>0</v>
      </c>
      <c r="AE159">
        <v>0</v>
      </c>
      <c r="AF159">
        <v>89.81</v>
      </c>
      <c r="AG159">
        <v>9.8800000000000008</v>
      </c>
      <c r="AH159">
        <v>0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0.01</v>
      </c>
      <c r="AU159" t="s">
        <v>11</v>
      </c>
      <c r="AV159">
        <v>0</v>
      </c>
      <c r="AW159">
        <v>2</v>
      </c>
      <c r="AX159">
        <v>50211971</v>
      </c>
      <c r="AY159">
        <v>1</v>
      </c>
      <c r="AZ159">
        <v>0</v>
      </c>
      <c r="BA159">
        <v>156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Y159*Source!I259</f>
        <v>4.709E-2</v>
      </c>
      <c r="CY159">
        <f>AB159</f>
        <v>89.81</v>
      </c>
      <c r="CZ159">
        <f>AF159</f>
        <v>89.81</v>
      </c>
      <c r="DA159">
        <f>AJ159</f>
        <v>1</v>
      </c>
      <c r="DB159">
        <f>ROUND((ROUND(AT159*CZ159,2)*1.25),1)</f>
        <v>1.1000000000000001</v>
      </c>
      <c r="DC159">
        <f>ROUND((ROUND(AT159*AG159,2)*1.25),1)</f>
        <v>0.1</v>
      </c>
    </row>
    <row r="160" spans="1:107" x14ac:dyDescent="0.2">
      <c r="A160">
        <f>ROW(Source!A259)</f>
        <v>259</v>
      </c>
      <c r="B160">
        <v>50210945</v>
      </c>
      <c r="C160">
        <v>50211957</v>
      </c>
      <c r="D160">
        <v>45812070</v>
      </c>
      <c r="E160">
        <v>1</v>
      </c>
      <c r="F160">
        <v>1</v>
      </c>
      <c r="G160">
        <v>1</v>
      </c>
      <c r="H160">
        <v>2</v>
      </c>
      <c r="I160" t="s">
        <v>567</v>
      </c>
      <c r="J160" t="s">
        <v>568</v>
      </c>
      <c r="K160" t="s">
        <v>569</v>
      </c>
      <c r="L160">
        <v>45811227</v>
      </c>
      <c r="N160">
        <v>1013</v>
      </c>
      <c r="O160" t="s">
        <v>452</v>
      </c>
      <c r="P160" t="s">
        <v>452</v>
      </c>
      <c r="Q160">
        <v>1</v>
      </c>
      <c r="W160">
        <v>0</v>
      </c>
      <c r="X160">
        <v>1970350413</v>
      </c>
      <c r="Y160">
        <v>6.4124999999999996</v>
      </c>
      <c r="AA160">
        <v>0</v>
      </c>
      <c r="AB160">
        <v>60</v>
      </c>
      <c r="AC160">
        <v>0</v>
      </c>
      <c r="AD160">
        <v>0</v>
      </c>
      <c r="AE160">
        <v>0</v>
      </c>
      <c r="AF160">
        <v>60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5.13</v>
      </c>
      <c r="AU160" t="s">
        <v>11</v>
      </c>
      <c r="AV160">
        <v>0</v>
      </c>
      <c r="AW160">
        <v>2</v>
      </c>
      <c r="AX160">
        <v>50211972</v>
      </c>
      <c r="AY160">
        <v>1</v>
      </c>
      <c r="AZ160">
        <v>0</v>
      </c>
      <c r="BA160">
        <v>157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Y160*Source!I259</f>
        <v>24.157169999999997</v>
      </c>
      <c r="CY160">
        <f>AB160</f>
        <v>60</v>
      </c>
      <c r="CZ160">
        <f>AF160</f>
        <v>60</v>
      </c>
      <c r="DA160">
        <f>AJ160</f>
        <v>1</v>
      </c>
      <c r="DB160">
        <f>ROUND((ROUND(AT160*CZ160,2)*1.25),1)</f>
        <v>384.8</v>
      </c>
      <c r="DC160">
        <f>ROUND((ROUND(AT160*AG160,2)*1.25),1)</f>
        <v>0</v>
      </c>
    </row>
    <row r="161" spans="1:107" x14ac:dyDescent="0.2">
      <c r="A161">
        <f>ROW(Source!A259)</f>
        <v>259</v>
      </c>
      <c r="B161">
        <v>50210945</v>
      </c>
      <c r="C161">
        <v>50211957</v>
      </c>
      <c r="D161">
        <v>45813321</v>
      </c>
      <c r="E161">
        <v>1</v>
      </c>
      <c r="F161">
        <v>1</v>
      </c>
      <c r="G161">
        <v>1</v>
      </c>
      <c r="H161">
        <v>2</v>
      </c>
      <c r="I161" t="s">
        <v>532</v>
      </c>
      <c r="J161" t="s">
        <v>533</v>
      </c>
      <c r="K161" t="s">
        <v>534</v>
      </c>
      <c r="L161">
        <v>45811227</v>
      </c>
      <c r="N161">
        <v>1013</v>
      </c>
      <c r="O161" t="s">
        <v>452</v>
      </c>
      <c r="P161" t="s">
        <v>452</v>
      </c>
      <c r="Q161">
        <v>1</v>
      </c>
      <c r="W161">
        <v>0</v>
      </c>
      <c r="X161">
        <v>771999048</v>
      </c>
      <c r="Y161">
        <v>0.70000000000000007</v>
      </c>
      <c r="AA161">
        <v>0</v>
      </c>
      <c r="AB161">
        <v>86.55</v>
      </c>
      <c r="AC161">
        <v>0</v>
      </c>
      <c r="AD161">
        <v>0</v>
      </c>
      <c r="AE161">
        <v>0</v>
      </c>
      <c r="AF161">
        <v>86.55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0.56000000000000005</v>
      </c>
      <c r="AU161" t="s">
        <v>11</v>
      </c>
      <c r="AV161">
        <v>0</v>
      </c>
      <c r="AW161">
        <v>2</v>
      </c>
      <c r="AX161">
        <v>50211973</v>
      </c>
      <c r="AY161">
        <v>1</v>
      </c>
      <c r="AZ161">
        <v>0</v>
      </c>
      <c r="BA161">
        <v>158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Y161*Source!I259</f>
        <v>2.6370400000000003</v>
      </c>
      <c r="CY161">
        <f>AB161</f>
        <v>86.55</v>
      </c>
      <c r="CZ161">
        <f>AF161</f>
        <v>86.55</v>
      </c>
      <c r="DA161">
        <f>AJ161</f>
        <v>1</v>
      </c>
      <c r="DB161">
        <f>ROUND((ROUND(AT161*CZ161,2)*1.25),1)</f>
        <v>60.6</v>
      </c>
      <c r="DC161">
        <f>ROUND((ROUND(AT161*AG161,2)*1.25),1)</f>
        <v>0</v>
      </c>
    </row>
    <row r="162" spans="1:107" x14ac:dyDescent="0.2">
      <c r="A162">
        <f>ROW(Source!A259)</f>
        <v>259</v>
      </c>
      <c r="B162">
        <v>50210945</v>
      </c>
      <c r="C162">
        <v>50211957</v>
      </c>
      <c r="D162">
        <v>45854377</v>
      </c>
      <c r="E162">
        <v>1</v>
      </c>
      <c r="F162">
        <v>1</v>
      </c>
      <c r="G162">
        <v>1</v>
      </c>
      <c r="H162">
        <v>3</v>
      </c>
      <c r="I162" t="s">
        <v>274</v>
      </c>
      <c r="J162" t="s">
        <v>276</v>
      </c>
      <c r="K162" t="s">
        <v>275</v>
      </c>
      <c r="L162">
        <v>1327</v>
      </c>
      <c r="N162">
        <v>1005</v>
      </c>
      <c r="O162" t="s">
        <v>266</v>
      </c>
      <c r="P162" t="s">
        <v>266</v>
      </c>
      <c r="Q162">
        <v>1</v>
      </c>
      <c r="W162">
        <v>1</v>
      </c>
      <c r="X162">
        <v>1579892875</v>
      </c>
      <c r="Y162">
        <v>-100</v>
      </c>
      <c r="AA162">
        <v>65.349999999999994</v>
      </c>
      <c r="AB162">
        <v>0</v>
      </c>
      <c r="AC162">
        <v>0</v>
      </c>
      <c r="AD162">
        <v>0</v>
      </c>
      <c r="AE162">
        <v>65.349999999999994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0</v>
      </c>
      <c r="AQ162">
        <v>0</v>
      </c>
      <c r="AR162">
        <v>0</v>
      </c>
      <c r="AS162" t="s">
        <v>3</v>
      </c>
      <c r="AT162">
        <v>-100</v>
      </c>
      <c r="AU162" t="s">
        <v>3</v>
      </c>
      <c r="AV162">
        <v>0</v>
      </c>
      <c r="AW162">
        <v>2</v>
      </c>
      <c r="AX162">
        <v>50211974</v>
      </c>
      <c r="AY162">
        <v>1</v>
      </c>
      <c r="AZ162">
        <v>6144</v>
      </c>
      <c r="BA162">
        <v>159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Y162*Source!I259</f>
        <v>-376.71999999999997</v>
      </c>
      <c r="CY162">
        <f>AA162</f>
        <v>65.349999999999994</v>
      </c>
      <c r="CZ162">
        <f>AE162</f>
        <v>65.349999999999994</v>
      </c>
      <c r="DA162">
        <f>AI162</f>
        <v>1</v>
      </c>
      <c r="DB162">
        <f>ROUND(ROUND(AT162*CZ162,2),1)</f>
        <v>-6535</v>
      </c>
      <c r="DC162">
        <f>ROUND(ROUND(AT162*AG162,2),1)</f>
        <v>0</v>
      </c>
    </row>
    <row r="163" spans="1:107" x14ac:dyDescent="0.2">
      <c r="A163">
        <f>ROW(Source!A259)</f>
        <v>259</v>
      </c>
      <c r="B163">
        <v>50210945</v>
      </c>
      <c r="C163">
        <v>50211957</v>
      </c>
      <c r="D163">
        <v>45863794</v>
      </c>
      <c r="E163">
        <v>1</v>
      </c>
      <c r="F163">
        <v>1</v>
      </c>
      <c r="G163">
        <v>1</v>
      </c>
      <c r="H163">
        <v>3</v>
      </c>
      <c r="I163" t="s">
        <v>278</v>
      </c>
      <c r="J163" t="s">
        <v>280</v>
      </c>
      <c r="K163" t="s">
        <v>279</v>
      </c>
      <c r="L163">
        <v>1327</v>
      </c>
      <c r="N163">
        <v>1005</v>
      </c>
      <c r="O163" t="s">
        <v>266</v>
      </c>
      <c r="P163" t="s">
        <v>266</v>
      </c>
      <c r="Q163">
        <v>1</v>
      </c>
      <c r="W163">
        <v>0</v>
      </c>
      <c r="X163">
        <v>583639727</v>
      </c>
      <c r="Y163">
        <v>100</v>
      </c>
      <c r="AA163">
        <v>82.33</v>
      </c>
      <c r="AB163">
        <v>0</v>
      </c>
      <c r="AC163">
        <v>0</v>
      </c>
      <c r="AD163">
        <v>0</v>
      </c>
      <c r="AE163">
        <v>82.33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0</v>
      </c>
      <c r="AP163">
        <v>0</v>
      </c>
      <c r="AQ163">
        <v>0</v>
      </c>
      <c r="AR163">
        <v>0</v>
      </c>
      <c r="AS163" t="s">
        <v>3</v>
      </c>
      <c r="AT163">
        <v>100</v>
      </c>
      <c r="AU163" t="s">
        <v>3</v>
      </c>
      <c r="AV163">
        <v>0</v>
      </c>
      <c r="AW163">
        <v>1</v>
      </c>
      <c r="AX163">
        <v>-1</v>
      </c>
      <c r="AY163">
        <v>0</v>
      </c>
      <c r="AZ163">
        <v>0</v>
      </c>
      <c r="BA163" t="s">
        <v>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Y163*Source!I259</f>
        <v>376.71999999999997</v>
      </c>
      <c r="CY163">
        <f>AA163</f>
        <v>82.33</v>
      </c>
      <c r="CZ163">
        <f>AE163</f>
        <v>82.33</v>
      </c>
      <c r="DA163">
        <f>AI163</f>
        <v>1</v>
      </c>
      <c r="DB163">
        <f>ROUND(ROUND(AT163*CZ163,2),1)</f>
        <v>8233</v>
      </c>
      <c r="DC163">
        <f>ROUND(ROUND(AT163*AG163,2),1)</f>
        <v>0</v>
      </c>
    </row>
    <row r="164" spans="1:107" x14ac:dyDescent="0.2">
      <c r="A164">
        <f>ROW(Source!A259)</f>
        <v>259</v>
      </c>
      <c r="B164">
        <v>50210945</v>
      </c>
      <c r="C164">
        <v>50211957</v>
      </c>
      <c r="D164">
        <v>45864785</v>
      </c>
      <c r="E164">
        <v>1</v>
      </c>
      <c r="F164">
        <v>1</v>
      </c>
      <c r="G164">
        <v>1</v>
      </c>
      <c r="H164">
        <v>3</v>
      </c>
      <c r="I164" t="s">
        <v>570</v>
      </c>
      <c r="J164" t="s">
        <v>571</v>
      </c>
      <c r="K164" t="s">
        <v>572</v>
      </c>
      <c r="L164">
        <v>1339</v>
      </c>
      <c r="N164">
        <v>1007</v>
      </c>
      <c r="O164" t="s">
        <v>153</v>
      </c>
      <c r="P164" t="s">
        <v>153</v>
      </c>
      <c r="Q164">
        <v>1</v>
      </c>
      <c r="W164">
        <v>0</v>
      </c>
      <c r="X164">
        <v>884561444</v>
      </c>
      <c r="Y164">
        <v>5</v>
      </c>
      <c r="AA164">
        <v>259.83</v>
      </c>
      <c r="AB164">
        <v>0</v>
      </c>
      <c r="AC164">
        <v>0</v>
      </c>
      <c r="AD164">
        <v>0</v>
      </c>
      <c r="AE164">
        <v>259.83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5</v>
      </c>
      <c r="AU164" t="s">
        <v>3</v>
      </c>
      <c r="AV164">
        <v>0</v>
      </c>
      <c r="AW164">
        <v>2</v>
      </c>
      <c r="AX164">
        <v>50211975</v>
      </c>
      <c r="AY164">
        <v>1</v>
      </c>
      <c r="AZ164">
        <v>0</v>
      </c>
      <c r="BA164">
        <v>160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Y164*Source!I259</f>
        <v>18.835999999999999</v>
      </c>
      <c r="CY164">
        <f>AA164</f>
        <v>259.83</v>
      </c>
      <c r="CZ164">
        <f>AE164</f>
        <v>259.83</v>
      </c>
      <c r="DA164">
        <f>AI164</f>
        <v>1</v>
      </c>
      <c r="DB164">
        <f>ROUND(ROUND(AT164*CZ164,2),1)</f>
        <v>1299.2</v>
      </c>
      <c r="DC164">
        <f>ROUND(ROUND(AT164*AG164,2),1)</f>
        <v>0</v>
      </c>
    </row>
    <row r="165" spans="1:107" x14ac:dyDescent="0.2">
      <c r="A165">
        <f>ROW(Source!A259)</f>
        <v>259</v>
      </c>
      <c r="B165">
        <v>50210945</v>
      </c>
      <c r="C165">
        <v>50211957</v>
      </c>
      <c r="D165">
        <v>45864906</v>
      </c>
      <c r="E165">
        <v>1</v>
      </c>
      <c r="F165">
        <v>1</v>
      </c>
      <c r="G165">
        <v>1</v>
      </c>
      <c r="H165">
        <v>3</v>
      </c>
      <c r="I165" t="s">
        <v>151</v>
      </c>
      <c r="J165" t="s">
        <v>154</v>
      </c>
      <c r="K165" t="s">
        <v>152</v>
      </c>
      <c r="L165">
        <v>1339</v>
      </c>
      <c r="N165">
        <v>1007</v>
      </c>
      <c r="O165" t="s">
        <v>153</v>
      </c>
      <c r="P165" t="s">
        <v>153</v>
      </c>
      <c r="Q165">
        <v>1</v>
      </c>
      <c r="W165">
        <v>0</v>
      </c>
      <c r="X165">
        <v>-215471597</v>
      </c>
      <c r="Y165">
        <v>0.05</v>
      </c>
      <c r="AA165">
        <v>51.17</v>
      </c>
      <c r="AB165">
        <v>0</v>
      </c>
      <c r="AC165">
        <v>0</v>
      </c>
      <c r="AD165">
        <v>0</v>
      </c>
      <c r="AE165">
        <v>51.17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0.05</v>
      </c>
      <c r="AU165" t="s">
        <v>3</v>
      </c>
      <c r="AV165">
        <v>0</v>
      </c>
      <c r="AW165">
        <v>2</v>
      </c>
      <c r="AX165">
        <v>50211976</v>
      </c>
      <c r="AY165">
        <v>1</v>
      </c>
      <c r="AZ165">
        <v>0</v>
      </c>
      <c r="BA165">
        <v>161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Y165*Source!I259</f>
        <v>0.18836</v>
      </c>
      <c r="CY165">
        <f>AA165</f>
        <v>51.17</v>
      </c>
      <c r="CZ165">
        <f>AE165</f>
        <v>51.17</v>
      </c>
      <c r="DA165">
        <f>AI165</f>
        <v>1</v>
      </c>
      <c r="DB165">
        <f>ROUND(ROUND(AT165*CZ165,2),1)</f>
        <v>2.6</v>
      </c>
      <c r="DC165">
        <f>ROUND(ROUND(AT165*AG165,2),1)</f>
        <v>0</v>
      </c>
    </row>
    <row r="166" spans="1:107" x14ac:dyDescent="0.2">
      <c r="A166">
        <f>ROW(Source!A297)</f>
        <v>297</v>
      </c>
      <c r="B166">
        <v>50210945</v>
      </c>
      <c r="C166">
        <v>50211979</v>
      </c>
      <c r="D166">
        <v>45975178</v>
      </c>
      <c r="E166">
        <v>1</v>
      </c>
      <c r="F166">
        <v>1</v>
      </c>
      <c r="G166">
        <v>1</v>
      </c>
      <c r="H166">
        <v>1</v>
      </c>
      <c r="I166" t="s">
        <v>453</v>
      </c>
      <c r="J166" t="s">
        <v>3</v>
      </c>
      <c r="K166" t="s">
        <v>454</v>
      </c>
      <c r="L166">
        <v>1476</v>
      </c>
      <c r="N166">
        <v>1013</v>
      </c>
      <c r="O166" t="s">
        <v>447</v>
      </c>
      <c r="P166" t="s">
        <v>448</v>
      </c>
      <c r="Q166">
        <v>1</v>
      </c>
      <c r="W166">
        <v>0</v>
      </c>
      <c r="X166">
        <v>1809359306</v>
      </c>
      <c r="Y166">
        <v>322</v>
      </c>
      <c r="AA166">
        <v>0</v>
      </c>
      <c r="AB166">
        <v>0</v>
      </c>
      <c r="AC166">
        <v>0</v>
      </c>
      <c r="AD166">
        <v>6.35</v>
      </c>
      <c r="AE166">
        <v>0</v>
      </c>
      <c r="AF166">
        <v>0</v>
      </c>
      <c r="AG166">
        <v>0</v>
      </c>
      <c r="AH166">
        <v>6.35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280</v>
      </c>
      <c r="AU166" t="s">
        <v>12</v>
      </c>
      <c r="AV166">
        <v>1</v>
      </c>
      <c r="AW166">
        <v>2</v>
      </c>
      <c r="AX166">
        <v>50211981</v>
      </c>
      <c r="AY166">
        <v>1</v>
      </c>
      <c r="AZ166">
        <v>0</v>
      </c>
      <c r="BA166">
        <v>162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Y166*Source!I297</f>
        <v>1.2558</v>
      </c>
      <c r="CY166">
        <f>AD166</f>
        <v>6.35</v>
      </c>
      <c r="CZ166">
        <f>AH166</f>
        <v>6.35</v>
      </c>
      <c r="DA166">
        <f>AL166</f>
        <v>1</v>
      </c>
      <c r="DB166">
        <f>ROUND((ROUND(AT166*CZ166,2)*1.15),1)</f>
        <v>2044.7</v>
      </c>
      <c r="DC166">
        <f>ROUND((ROUND(AT166*AG166,2)*1.15),1)</f>
        <v>0</v>
      </c>
    </row>
    <row r="167" spans="1:107" x14ac:dyDescent="0.2">
      <c r="A167">
        <f>ROW(Source!A299)</f>
        <v>299</v>
      </c>
      <c r="B167">
        <v>50210945</v>
      </c>
      <c r="C167">
        <v>50211983</v>
      </c>
      <c r="D167">
        <v>45975178</v>
      </c>
      <c r="E167">
        <v>1</v>
      </c>
      <c r="F167">
        <v>1</v>
      </c>
      <c r="G167">
        <v>1</v>
      </c>
      <c r="H167">
        <v>1</v>
      </c>
      <c r="I167" t="s">
        <v>453</v>
      </c>
      <c r="J167" t="s">
        <v>3</v>
      </c>
      <c r="K167" t="s">
        <v>454</v>
      </c>
      <c r="L167">
        <v>1476</v>
      </c>
      <c r="N167">
        <v>1013</v>
      </c>
      <c r="O167" t="s">
        <v>447</v>
      </c>
      <c r="P167" t="s">
        <v>448</v>
      </c>
      <c r="Q167">
        <v>1</v>
      </c>
      <c r="W167">
        <v>0</v>
      </c>
      <c r="X167">
        <v>1809359306</v>
      </c>
      <c r="Y167">
        <v>206.99999999999997</v>
      </c>
      <c r="AA167">
        <v>0</v>
      </c>
      <c r="AB167">
        <v>0</v>
      </c>
      <c r="AC167">
        <v>0</v>
      </c>
      <c r="AD167">
        <v>6.35</v>
      </c>
      <c r="AE167">
        <v>0</v>
      </c>
      <c r="AF167">
        <v>0</v>
      </c>
      <c r="AG167">
        <v>0</v>
      </c>
      <c r="AH167">
        <v>6.35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180</v>
      </c>
      <c r="AU167" t="s">
        <v>12</v>
      </c>
      <c r="AV167">
        <v>1</v>
      </c>
      <c r="AW167">
        <v>2</v>
      </c>
      <c r="AX167">
        <v>50211992</v>
      </c>
      <c r="AY167">
        <v>1</v>
      </c>
      <c r="AZ167">
        <v>0</v>
      </c>
      <c r="BA167">
        <v>163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Y167*Source!I299</f>
        <v>0.41399999999999998</v>
      </c>
      <c r="CY167">
        <f>AD167</f>
        <v>6.35</v>
      </c>
      <c r="CZ167">
        <f>AH167</f>
        <v>6.35</v>
      </c>
      <c r="DA167">
        <f>AL167</f>
        <v>1</v>
      </c>
      <c r="DB167">
        <f>ROUND((ROUND(AT167*CZ167,2)*1.15),1)</f>
        <v>1314.5</v>
      </c>
      <c r="DC167">
        <f>ROUND((ROUND(AT167*AG167,2)*1.15),1)</f>
        <v>0</v>
      </c>
    </row>
    <row r="168" spans="1:107" x14ac:dyDescent="0.2">
      <c r="A168">
        <f>ROW(Source!A299)</f>
        <v>299</v>
      </c>
      <c r="B168">
        <v>50210945</v>
      </c>
      <c r="C168">
        <v>50211983</v>
      </c>
      <c r="D168">
        <v>121548</v>
      </c>
      <c r="E168">
        <v>1</v>
      </c>
      <c r="F168">
        <v>1</v>
      </c>
      <c r="G168">
        <v>1</v>
      </c>
      <c r="H168">
        <v>1</v>
      </c>
      <c r="I168" t="s">
        <v>25</v>
      </c>
      <c r="J168" t="s">
        <v>3</v>
      </c>
      <c r="K168" t="s">
        <v>463</v>
      </c>
      <c r="L168">
        <v>608254</v>
      </c>
      <c r="N168">
        <v>1013</v>
      </c>
      <c r="O168" t="s">
        <v>464</v>
      </c>
      <c r="P168" t="s">
        <v>464</v>
      </c>
      <c r="Q168">
        <v>1</v>
      </c>
      <c r="W168">
        <v>0</v>
      </c>
      <c r="X168">
        <v>-185737400</v>
      </c>
      <c r="Y168">
        <v>22.5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18</v>
      </c>
      <c r="AU168" t="s">
        <v>11</v>
      </c>
      <c r="AV168">
        <v>2</v>
      </c>
      <c r="AW168">
        <v>2</v>
      </c>
      <c r="AX168">
        <v>50211993</v>
      </c>
      <c r="AY168">
        <v>1</v>
      </c>
      <c r="AZ168">
        <v>0</v>
      </c>
      <c r="BA168">
        <v>164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Y168*Source!I299</f>
        <v>4.4999999999999998E-2</v>
      </c>
      <c r="CY168">
        <f>AD168</f>
        <v>0</v>
      </c>
      <c r="CZ168">
        <f>AH168</f>
        <v>0</v>
      </c>
      <c r="DA168">
        <f>AL168</f>
        <v>1</v>
      </c>
      <c r="DB168">
        <f>ROUND((ROUND(AT168*CZ168,2)*1.25),1)</f>
        <v>0</v>
      </c>
      <c r="DC168">
        <f>ROUND((ROUND(AT168*AG168,2)*1.25),1)</f>
        <v>0</v>
      </c>
    </row>
    <row r="169" spans="1:107" x14ac:dyDescent="0.2">
      <c r="A169">
        <f>ROW(Source!A299)</f>
        <v>299</v>
      </c>
      <c r="B169">
        <v>50210945</v>
      </c>
      <c r="C169">
        <v>50211983</v>
      </c>
      <c r="D169">
        <v>45811272</v>
      </c>
      <c r="E169">
        <v>1</v>
      </c>
      <c r="F169">
        <v>1</v>
      </c>
      <c r="G169">
        <v>1</v>
      </c>
      <c r="H169">
        <v>2</v>
      </c>
      <c r="I169" t="s">
        <v>573</v>
      </c>
      <c r="J169" t="s">
        <v>574</v>
      </c>
      <c r="K169" t="s">
        <v>575</v>
      </c>
      <c r="L169">
        <v>45811227</v>
      </c>
      <c r="N169">
        <v>1013</v>
      </c>
      <c r="O169" t="s">
        <v>452</v>
      </c>
      <c r="P169" t="s">
        <v>452</v>
      </c>
      <c r="Q169">
        <v>1</v>
      </c>
      <c r="W169">
        <v>0</v>
      </c>
      <c r="X169">
        <v>1763908544</v>
      </c>
      <c r="Y169">
        <v>22.5</v>
      </c>
      <c r="AA169">
        <v>0</v>
      </c>
      <c r="AB169">
        <v>86.16</v>
      </c>
      <c r="AC169">
        <v>13.26</v>
      </c>
      <c r="AD169">
        <v>0</v>
      </c>
      <c r="AE169">
        <v>0</v>
      </c>
      <c r="AF169">
        <v>86.16</v>
      </c>
      <c r="AG169">
        <v>13.26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18</v>
      </c>
      <c r="AU169" t="s">
        <v>11</v>
      </c>
      <c r="AV169">
        <v>0</v>
      </c>
      <c r="AW169">
        <v>2</v>
      </c>
      <c r="AX169">
        <v>50211994</v>
      </c>
      <c r="AY169">
        <v>1</v>
      </c>
      <c r="AZ169">
        <v>0</v>
      </c>
      <c r="BA169">
        <v>165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Y169*Source!I299</f>
        <v>4.4999999999999998E-2</v>
      </c>
      <c r="CY169">
        <f>AB169</f>
        <v>86.16</v>
      </c>
      <c r="CZ169">
        <f>AF169</f>
        <v>86.16</v>
      </c>
      <c r="DA169">
        <f>AJ169</f>
        <v>1</v>
      </c>
      <c r="DB169">
        <f>ROUND((ROUND(AT169*CZ169,2)*1.25),1)</f>
        <v>1938.6</v>
      </c>
      <c r="DC169">
        <f>ROUND((ROUND(AT169*AG169,2)*1.25),1)</f>
        <v>298.39999999999998</v>
      </c>
    </row>
    <row r="170" spans="1:107" x14ac:dyDescent="0.2">
      <c r="A170">
        <f>ROW(Source!A299)</f>
        <v>299</v>
      </c>
      <c r="B170">
        <v>50210945</v>
      </c>
      <c r="C170">
        <v>50211983</v>
      </c>
      <c r="D170">
        <v>45811901</v>
      </c>
      <c r="E170">
        <v>1</v>
      </c>
      <c r="F170">
        <v>1</v>
      </c>
      <c r="G170">
        <v>1</v>
      </c>
      <c r="H170">
        <v>2</v>
      </c>
      <c r="I170" t="s">
        <v>576</v>
      </c>
      <c r="J170" t="s">
        <v>577</v>
      </c>
      <c r="K170" t="s">
        <v>578</v>
      </c>
      <c r="L170">
        <v>45811227</v>
      </c>
      <c r="N170">
        <v>1013</v>
      </c>
      <c r="O170" t="s">
        <v>452</v>
      </c>
      <c r="P170" t="s">
        <v>452</v>
      </c>
      <c r="Q170">
        <v>1</v>
      </c>
      <c r="W170">
        <v>0</v>
      </c>
      <c r="X170">
        <v>-535918546</v>
      </c>
      <c r="Y170">
        <v>60</v>
      </c>
      <c r="AA170">
        <v>0</v>
      </c>
      <c r="AB170">
        <v>0.5</v>
      </c>
      <c r="AC170">
        <v>0</v>
      </c>
      <c r="AD170">
        <v>0</v>
      </c>
      <c r="AE170">
        <v>0</v>
      </c>
      <c r="AF170">
        <v>0.5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48</v>
      </c>
      <c r="AU170" t="s">
        <v>11</v>
      </c>
      <c r="AV170">
        <v>0</v>
      </c>
      <c r="AW170">
        <v>2</v>
      </c>
      <c r="AX170">
        <v>50211995</v>
      </c>
      <c r="AY170">
        <v>1</v>
      </c>
      <c r="AZ170">
        <v>0</v>
      </c>
      <c r="BA170">
        <v>166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Y170*Source!I299</f>
        <v>0.12</v>
      </c>
      <c r="CY170">
        <f>AB170</f>
        <v>0.5</v>
      </c>
      <c r="CZ170">
        <f>AF170</f>
        <v>0.5</v>
      </c>
      <c r="DA170">
        <f>AJ170</f>
        <v>1</v>
      </c>
      <c r="DB170">
        <f>ROUND((ROUND(AT170*CZ170,2)*1.25),1)</f>
        <v>30</v>
      </c>
      <c r="DC170">
        <f>ROUND((ROUND(AT170*AG170,2)*1.25),1)</f>
        <v>0</v>
      </c>
    </row>
    <row r="171" spans="1:107" x14ac:dyDescent="0.2">
      <c r="A171">
        <f>ROW(Source!A299)</f>
        <v>299</v>
      </c>
      <c r="B171">
        <v>50210945</v>
      </c>
      <c r="C171">
        <v>50211983</v>
      </c>
      <c r="D171">
        <v>45813321</v>
      </c>
      <c r="E171">
        <v>1</v>
      </c>
      <c r="F171">
        <v>1</v>
      </c>
      <c r="G171">
        <v>1</v>
      </c>
      <c r="H171">
        <v>2</v>
      </c>
      <c r="I171" t="s">
        <v>532</v>
      </c>
      <c r="J171" t="s">
        <v>533</v>
      </c>
      <c r="K171" t="s">
        <v>534</v>
      </c>
      <c r="L171">
        <v>45811227</v>
      </c>
      <c r="N171">
        <v>1013</v>
      </c>
      <c r="O171" t="s">
        <v>452</v>
      </c>
      <c r="P171" t="s">
        <v>452</v>
      </c>
      <c r="Q171">
        <v>1</v>
      </c>
      <c r="W171">
        <v>0</v>
      </c>
      <c r="X171">
        <v>771999048</v>
      </c>
      <c r="Y171">
        <v>0.16250000000000001</v>
      </c>
      <c r="AA171">
        <v>0</v>
      </c>
      <c r="AB171">
        <v>86.55</v>
      </c>
      <c r="AC171">
        <v>0</v>
      </c>
      <c r="AD171">
        <v>0</v>
      </c>
      <c r="AE171">
        <v>0</v>
      </c>
      <c r="AF171">
        <v>86.55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0.13</v>
      </c>
      <c r="AU171" t="s">
        <v>11</v>
      </c>
      <c r="AV171">
        <v>0</v>
      </c>
      <c r="AW171">
        <v>2</v>
      </c>
      <c r="AX171">
        <v>50211996</v>
      </c>
      <c r="AY171">
        <v>1</v>
      </c>
      <c r="AZ171">
        <v>0</v>
      </c>
      <c r="BA171">
        <v>167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Y171*Source!I299</f>
        <v>3.2500000000000004E-4</v>
      </c>
      <c r="CY171">
        <f>AB171</f>
        <v>86.55</v>
      </c>
      <c r="CZ171">
        <f>AF171</f>
        <v>86.55</v>
      </c>
      <c r="DA171">
        <f>AJ171</f>
        <v>1</v>
      </c>
      <c r="DB171">
        <f>ROUND((ROUND(AT171*CZ171,2)*1.25),1)</f>
        <v>14.1</v>
      </c>
      <c r="DC171">
        <f>ROUND((ROUND(AT171*AG171,2)*1.25),1)</f>
        <v>0</v>
      </c>
    </row>
    <row r="172" spans="1:107" x14ac:dyDescent="0.2">
      <c r="A172">
        <f>ROW(Source!A299)</f>
        <v>299</v>
      </c>
      <c r="B172">
        <v>50210945</v>
      </c>
      <c r="C172">
        <v>50211983</v>
      </c>
      <c r="D172">
        <v>45816198</v>
      </c>
      <c r="E172">
        <v>1</v>
      </c>
      <c r="F172">
        <v>1</v>
      </c>
      <c r="G172">
        <v>1</v>
      </c>
      <c r="H172">
        <v>3</v>
      </c>
      <c r="I172" t="s">
        <v>579</v>
      </c>
      <c r="J172" t="s">
        <v>580</v>
      </c>
      <c r="K172" t="s">
        <v>581</v>
      </c>
      <c r="L172">
        <v>1327</v>
      </c>
      <c r="N172">
        <v>1005</v>
      </c>
      <c r="O172" t="s">
        <v>266</v>
      </c>
      <c r="P172" t="s">
        <v>266</v>
      </c>
      <c r="Q172">
        <v>1</v>
      </c>
      <c r="W172">
        <v>0</v>
      </c>
      <c r="X172">
        <v>844764035</v>
      </c>
      <c r="Y172">
        <v>250</v>
      </c>
      <c r="AA172">
        <v>9.1999999999999993</v>
      </c>
      <c r="AB172">
        <v>0</v>
      </c>
      <c r="AC172">
        <v>0</v>
      </c>
      <c r="AD172">
        <v>0</v>
      </c>
      <c r="AE172">
        <v>9.1999999999999993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0</v>
      </c>
      <c r="AQ172">
        <v>0</v>
      </c>
      <c r="AR172">
        <v>0</v>
      </c>
      <c r="AS172" t="s">
        <v>3</v>
      </c>
      <c r="AT172">
        <v>250</v>
      </c>
      <c r="AU172" t="s">
        <v>3</v>
      </c>
      <c r="AV172">
        <v>0</v>
      </c>
      <c r="AW172">
        <v>2</v>
      </c>
      <c r="AX172">
        <v>50211997</v>
      </c>
      <c r="AY172">
        <v>1</v>
      </c>
      <c r="AZ172">
        <v>0</v>
      </c>
      <c r="BA172">
        <v>168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Y172*Source!I299</f>
        <v>0.5</v>
      </c>
      <c r="CY172">
        <f>AA172</f>
        <v>9.1999999999999993</v>
      </c>
      <c r="CZ172">
        <f>AE172</f>
        <v>9.1999999999999993</v>
      </c>
      <c r="DA172">
        <f>AI172</f>
        <v>1</v>
      </c>
      <c r="DB172">
        <f>ROUND(ROUND(AT172*CZ172,2),1)</f>
        <v>2300</v>
      </c>
      <c r="DC172">
        <f>ROUND(ROUND(AT172*AG172,2),1)</f>
        <v>0</v>
      </c>
    </row>
    <row r="173" spans="1:107" x14ac:dyDescent="0.2">
      <c r="A173">
        <f>ROW(Source!A299)</f>
        <v>299</v>
      </c>
      <c r="B173">
        <v>50210945</v>
      </c>
      <c r="C173">
        <v>50211983</v>
      </c>
      <c r="D173">
        <v>45853272</v>
      </c>
      <c r="E173">
        <v>1</v>
      </c>
      <c r="F173">
        <v>1</v>
      </c>
      <c r="G173">
        <v>1</v>
      </c>
      <c r="H173">
        <v>3</v>
      </c>
      <c r="I173" t="s">
        <v>582</v>
      </c>
      <c r="J173" t="s">
        <v>583</v>
      </c>
      <c r="K173" t="s">
        <v>584</v>
      </c>
      <c r="L173">
        <v>1339</v>
      </c>
      <c r="N173">
        <v>1007</v>
      </c>
      <c r="O173" t="s">
        <v>153</v>
      </c>
      <c r="P173" t="s">
        <v>153</v>
      </c>
      <c r="Q173">
        <v>1</v>
      </c>
      <c r="W173">
        <v>0</v>
      </c>
      <c r="X173">
        <v>243033570</v>
      </c>
      <c r="Y173">
        <v>102</v>
      </c>
      <c r="AA173">
        <v>481.52</v>
      </c>
      <c r="AB173">
        <v>0</v>
      </c>
      <c r="AC173">
        <v>0</v>
      </c>
      <c r="AD173">
        <v>0</v>
      </c>
      <c r="AE173">
        <v>481.52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0</v>
      </c>
      <c r="AQ173">
        <v>0</v>
      </c>
      <c r="AR173">
        <v>0</v>
      </c>
      <c r="AS173" t="s">
        <v>3</v>
      </c>
      <c r="AT173">
        <v>102</v>
      </c>
      <c r="AU173" t="s">
        <v>3</v>
      </c>
      <c r="AV173">
        <v>0</v>
      </c>
      <c r="AW173">
        <v>2</v>
      </c>
      <c r="AX173">
        <v>50211998</v>
      </c>
      <c r="AY173">
        <v>1</v>
      </c>
      <c r="AZ173">
        <v>0</v>
      </c>
      <c r="BA173">
        <v>169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Y173*Source!I299</f>
        <v>0.20400000000000001</v>
      </c>
      <c r="CY173">
        <f>AA173</f>
        <v>481.52</v>
      </c>
      <c r="CZ173">
        <f>AE173</f>
        <v>481.52</v>
      </c>
      <c r="DA173">
        <f>AI173</f>
        <v>1</v>
      </c>
      <c r="DB173">
        <f>ROUND(ROUND(AT173*CZ173,2),1)</f>
        <v>49115</v>
      </c>
      <c r="DC173">
        <f>ROUND(ROUND(AT173*AG173,2),1)</f>
        <v>0</v>
      </c>
    </row>
    <row r="174" spans="1:107" x14ac:dyDescent="0.2">
      <c r="A174">
        <f>ROW(Source!A299)</f>
        <v>299</v>
      </c>
      <c r="B174">
        <v>50210945</v>
      </c>
      <c r="C174">
        <v>50211983</v>
      </c>
      <c r="D174">
        <v>45865353</v>
      </c>
      <c r="E174">
        <v>1</v>
      </c>
      <c r="F174">
        <v>1</v>
      </c>
      <c r="G174">
        <v>1</v>
      </c>
      <c r="H174">
        <v>3</v>
      </c>
      <c r="I174" t="s">
        <v>488</v>
      </c>
      <c r="J174" t="s">
        <v>489</v>
      </c>
      <c r="K174" t="s">
        <v>490</v>
      </c>
      <c r="L174">
        <v>1339</v>
      </c>
      <c r="N174">
        <v>1007</v>
      </c>
      <c r="O174" t="s">
        <v>153</v>
      </c>
      <c r="P174" t="s">
        <v>153</v>
      </c>
      <c r="Q174">
        <v>1</v>
      </c>
      <c r="W174">
        <v>0</v>
      </c>
      <c r="X174">
        <v>-1025641989</v>
      </c>
      <c r="Y174">
        <v>0.2</v>
      </c>
      <c r="AA174">
        <v>2.2599999999999998</v>
      </c>
      <c r="AB174">
        <v>0</v>
      </c>
      <c r="AC174">
        <v>0</v>
      </c>
      <c r="AD174">
        <v>0</v>
      </c>
      <c r="AE174">
        <v>2.2599999999999998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0</v>
      </c>
      <c r="AQ174">
        <v>0</v>
      </c>
      <c r="AR174">
        <v>0</v>
      </c>
      <c r="AS174" t="s">
        <v>3</v>
      </c>
      <c r="AT174">
        <v>0.2</v>
      </c>
      <c r="AU174" t="s">
        <v>3</v>
      </c>
      <c r="AV174">
        <v>0</v>
      </c>
      <c r="AW174">
        <v>2</v>
      </c>
      <c r="AX174">
        <v>50211999</v>
      </c>
      <c r="AY174">
        <v>1</v>
      </c>
      <c r="AZ174">
        <v>0</v>
      </c>
      <c r="BA174">
        <v>170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Y174*Source!I299</f>
        <v>4.0000000000000002E-4</v>
      </c>
      <c r="CY174">
        <f>AA174</f>
        <v>2.2599999999999998</v>
      </c>
      <c r="CZ174">
        <f>AE174</f>
        <v>2.2599999999999998</v>
      </c>
      <c r="DA174">
        <f>AI174</f>
        <v>1</v>
      </c>
      <c r="DB174">
        <f>ROUND(ROUND(AT174*CZ174,2),1)</f>
        <v>0.5</v>
      </c>
      <c r="DC174">
        <f>ROUND(ROUND(AT174*AG174,2),1)</f>
        <v>0</v>
      </c>
    </row>
    <row r="175" spans="1:107" x14ac:dyDescent="0.2">
      <c r="A175">
        <f>ROW(Source!A300)</f>
        <v>300</v>
      </c>
      <c r="B175">
        <v>50210945</v>
      </c>
      <c r="C175">
        <v>50212000</v>
      </c>
      <c r="D175">
        <v>45981686</v>
      </c>
      <c r="E175">
        <v>1</v>
      </c>
      <c r="F175">
        <v>1</v>
      </c>
      <c r="G175">
        <v>1</v>
      </c>
      <c r="H175">
        <v>1</v>
      </c>
      <c r="I175" t="s">
        <v>556</v>
      </c>
      <c r="J175" t="s">
        <v>3</v>
      </c>
      <c r="K175" t="s">
        <v>557</v>
      </c>
      <c r="L175">
        <v>1476</v>
      </c>
      <c r="N175">
        <v>1013</v>
      </c>
      <c r="O175" t="s">
        <v>447</v>
      </c>
      <c r="P175" t="s">
        <v>448</v>
      </c>
      <c r="Q175">
        <v>1</v>
      </c>
      <c r="W175">
        <v>0</v>
      </c>
      <c r="X175">
        <v>-1949506561</v>
      </c>
      <c r="Y175">
        <v>101.77499999999999</v>
      </c>
      <c r="AA175">
        <v>0</v>
      </c>
      <c r="AB175">
        <v>0</v>
      </c>
      <c r="AC175">
        <v>0</v>
      </c>
      <c r="AD175">
        <v>6.1</v>
      </c>
      <c r="AE175">
        <v>0</v>
      </c>
      <c r="AF175">
        <v>0</v>
      </c>
      <c r="AG175">
        <v>0</v>
      </c>
      <c r="AH175">
        <v>6.1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88.5</v>
      </c>
      <c r="AU175" t="s">
        <v>12</v>
      </c>
      <c r="AV175">
        <v>1</v>
      </c>
      <c r="AW175">
        <v>2</v>
      </c>
      <c r="AX175">
        <v>50212002</v>
      </c>
      <c r="AY175">
        <v>1</v>
      </c>
      <c r="AZ175">
        <v>0</v>
      </c>
      <c r="BA175">
        <v>171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Y175*Source!I300</f>
        <v>0.20354999999999998</v>
      </c>
      <c r="CY175">
        <f>AD175</f>
        <v>6.1</v>
      </c>
      <c r="CZ175">
        <f>AH175</f>
        <v>6.1</v>
      </c>
      <c r="DA175">
        <f>AL175</f>
        <v>1</v>
      </c>
      <c r="DB175">
        <f>ROUND((ROUND(AT175*CZ175,2)*1.15),1)</f>
        <v>620.79999999999995</v>
      </c>
      <c r="DC175">
        <f>ROUND((ROUND(AT175*AG175,2)*1.15),1)</f>
        <v>0</v>
      </c>
    </row>
    <row r="176" spans="1:107" x14ac:dyDescent="0.2">
      <c r="A176">
        <f>ROW(Source!A336)</f>
        <v>336</v>
      </c>
      <c r="B176">
        <v>50210945</v>
      </c>
      <c r="C176">
        <v>50212003</v>
      </c>
      <c r="D176">
        <v>45975178</v>
      </c>
      <c r="E176">
        <v>1</v>
      </c>
      <c r="F176">
        <v>1</v>
      </c>
      <c r="G176">
        <v>1</v>
      </c>
      <c r="H176">
        <v>1</v>
      </c>
      <c r="I176" t="s">
        <v>453</v>
      </c>
      <c r="J176" t="s">
        <v>3</v>
      </c>
      <c r="K176" t="s">
        <v>454</v>
      </c>
      <c r="L176">
        <v>1476</v>
      </c>
      <c r="N176">
        <v>1013</v>
      </c>
      <c r="O176" t="s">
        <v>447</v>
      </c>
      <c r="P176" t="s">
        <v>448</v>
      </c>
      <c r="Q176">
        <v>1</v>
      </c>
      <c r="W176">
        <v>0</v>
      </c>
      <c r="X176">
        <v>1809359306</v>
      </c>
      <c r="Y176">
        <v>322</v>
      </c>
      <c r="AA176">
        <v>0</v>
      </c>
      <c r="AB176">
        <v>0</v>
      </c>
      <c r="AC176">
        <v>0</v>
      </c>
      <c r="AD176">
        <v>6.35</v>
      </c>
      <c r="AE176">
        <v>0</v>
      </c>
      <c r="AF176">
        <v>0</v>
      </c>
      <c r="AG176">
        <v>0</v>
      </c>
      <c r="AH176">
        <v>6.35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280</v>
      </c>
      <c r="AU176" t="s">
        <v>12</v>
      </c>
      <c r="AV176">
        <v>1</v>
      </c>
      <c r="AW176">
        <v>2</v>
      </c>
      <c r="AX176">
        <v>50212005</v>
      </c>
      <c r="AY176">
        <v>1</v>
      </c>
      <c r="AZ176">
        <v>0</v>
      </c>
      <c r="BA176">
        <v>172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Y176*Source!I336</f>
        <v>2.6082000000000001</v>
      </c>
      <c r="CY176">
        <f>AD176</f>
        <v>6.35</v>
      </c>
      <c r="CZ176">
        <f>AH176</f>
        <v>6.35</v>
      </c>
      <c r="DA176">
        <f>AL176</f>
        <v>1</v>
      </c>
      <c r="DB176">
        <f>ROUND((ROUND(AT176*CZ176,2)*1.15),1)</f>
        <v>2044.7</v>
      </c>
      <c r="DC176">
        <f>ROUND((ROUND(AT176*AG176,2)*1.15),1)</f>
        <v>0</v>
      </c>
    </row>
    <row r="177" spans="1:107" x14ac:dyDescent="0.2">
      <c r="A177">
        <f>ROW(Source!A338)</f>
        <v>338</v>
      </c>
      <c r="B177">
        <v>50210945</v>
      </c>
      <c r="C177">
        <v>50212007</v>
      </c>
      <c r="D177">
        <v>45975178</v>
      </c>
      <c r="E177">
        <v>1</v>
      </c>
      <c r="F177">
        <v>1</v>
      </c>
      <c r="G177">
        <v>1</v>
      </c>
      <c r="H177">
        <v>1</v>
      </c>
      <c r="I177" t="s">
        <v>453</v>
      </c>
      <c r="J177" t="s">
        <v>3</v>
      </c>
      <c r="K177" t="s">
        <v>454</v>
      </c>
      <c r="L177">
        <v>1476</v>
      </c>
      <c r="N177">
        <v>1013</v>
      </c>
      <c r="O177" t="s">
        <v>447</v>
      </c>
      <c r="P177" t="s">
        <v>448</v>
      </c>
      <c r="Q177">
        <v>1</v>
      </c>
      <c r="W177">
        <v>0</v>
      </c>
      <c r="X177">
        <v>1809359306</v>
      </c>
      <c r="Y177">
        <v>206.99999999999997</v>
      </c>
      <c r="AA177">
        <v>0</v>
      </c>
      <c r="AB177">
        <v>0</v>
      </c>
      <c r="AC177">
        <v>0</v>
      </c>
      <c r="AD177">
        <v>6.35</v>
      </c>
      <c r="AE177">
        <v>0</v>
      </c>
      <c r="AF177">
        <v>0</v>
      </c>
      <c r="AG177">
        <v>0</v>
      </c>
      <c r="AH177">
        <v>6.35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180</v>
      </c>
      <c r="AU177" t="s">
        <v>12</v>
      </c>
      <c r="AV177">
        <v>1</v>
      </c>
      <c r="AW177">
        <v>2</v>
      </c>
      <c r="AX177">
        <v>50212016</v>
      </c>
      <c r="AY177">
        <v>1</v>
      </c>
      <c r="AZ177">
        <v>0</v>
      </c>
      <c r="BA177">
        <v>173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Y177*Source!I338</f>
        <v>0.84870000000000001</v>
      </c>
      <c r="CY177">
        <f>AD177</f>
        <v>6.35</v>
      </c>
      <c r="CZ177">
        <f>AH177</f>
        <v>6.35</v>
      </c>
      <c r="DA177">
        <f>AL177</f>
        <v>1</v>
      </c>
      <c r="DB177">
        <f>ROUND((ROUND(AT177*CZ177,2)*1.15),1)</f>
        <v>1314.5</v>
      </c>
      <c r="DC177">
        <f>ROUND((ROUND(AT177*AG177,2)*1.15),1)</f>
        <v>0</v>
      </c>
    </row>
    <row r="178" spans="1:107" x14ac:dyDescent="0.2">
      <c r="A178">
        <f>ROW(Source!A338)</f>
        <v>338</v>
      </c>
      <c r="B178">
        <v>50210945</v>
      </c>
      <c r="C178">
        <v>50212007</v>
      </c>
      <c r="D178">
        <v>121548</v>
      </c>
      <c r="E178">
        <v>1</v>
      </c>
      <c r="F178">
        <v>1</v>
      </c>
      <c r="G178">
        <v>1</v>
      </c>
      <c r="H178">
        <v>1</v>
      </c>
      <c r="I178" t="s">
        <v>25</v>
      </c>
      <c r="J178" t="s">
        <v>3</v>
      </c>
      <c r="K178" t="s">
        <v>463</v>
      </c>
      <c r="L178">
        <v>608254</v>
      </c>
      <c r="N178">
        <v>1013</v>
      </c>
      <c r="O178" t="s">
        <v>464</v>
      </c>
      <c r="P178" t="s">
        <v>464</v>
      </c>
      <c r="Q178">
        <v>1</v>
      </c>
      <c r="W178">
        <v>0</v>
      </c>
      <c r="X178">
        <v>-185737400</v>
      </c>
      <c r="Y178">
        <v>22.5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18</v>
      </c>
      <c r="AU178" t="s">
        <v>11</v>
      </c>
      <c r="AV178">
        <v>2</v>
      </c>
      <c r="AW178">
        <v>2</v>
      </c>
      <c r="AX178">
        <v>50212017</v>
      </c>
      <c r="AY178">
        <v>1</v>
      </c>
      <c r="AZ178">
        <v>0</v>
      </c>
      <c r="BA178">
        <v>174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Y178*Source!I338</f>
        <v>9.2250000000000013E-2</v>
      </c>
      <c r="CY178">
        <f>AD178</f>
        <v>0</v>
      </c>
      <c r="CZ178">
        <f>AH178</f>
        <v>0</v>
      </c>
      <c r="DA178">
        <f>AL178</f>
        <v>1</v>
      </c>
      <c r="DB178">
        <f>ROUND((ROUND(AT178*CZ178,2)*1.25),1)</f>
        <v>0</v>
      </c>
      <c r="DC178">
        <f>ROUND((ROUND(AT178*AG178,2)*1.25),1)</f>
        <v>0</v>
      </c>
    </row>
    <row r="179" spans="1:107" x14ac:dyDescent="0.2">
      <c r="A179">
        <f>ROW(Source!A338)</f>
        <v>338</v>
      </c>
      <c r="B179">
        <v>50210945</v>
      </c>
      <c r="C179">
        <v>50212007</v>
      </c>
      <c r="D179">
        <v>45811272</v>
      </c>
      <c r="E179">
        <v>1</v>
      </c>
      <c r="F179">
        <v>1</v>
      </c>
      <c r="G179">
        <v>1</v>
      </c>
      <c r="H179">
        <v>2</v>
      </c>
      <c r="I179" t="s">
        <v>573</v>
      </c>
      <c r="J179" t="s">
        <v>574</v>
      </c>
      <c r="K179" t="s">
        <v>575</v>
      </c>
      <c r="L179">
        <v>45811227</v>
      </c>
      <c r="N179">
        <v>1013</v>
      </c>
      <c r="O179" t="s">
        <v>452</v>
      </c>
      <c r="P179" t="s">
        <v>452</v>
      </c>
      <c r="Q179">
        <v>1</v>
      </c>
      <c r="W179">
        <v>0</v>
      </c>
      <c r="X179">
        <v>1763908544</v>
      </c>
      <c r="Y179">
        <v>22.5</v>
      </c>
      <c r="AA179">
        <v>0</v>
      </c>
      <c r="AB179">
        <v>86.16</v>
      </c>
      <c r="AC179">
        <v>13.26</v>
      </c>
      <c r="AD179">
        <v>0</v>
      </c>
      <c r="AE179">
        <v>0</v>
      </c>
      <c r="AF179">
        <v>86.16</v>
      </c>
      <c r="AG179">
        <v>13.26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18</v>
      </c>
      <c r="AU179" t="s">
        <v>11</v>
      </c>
      <c r="AV179">
        <v>0</v>
      </c>
      <c r="AW179">
        <v>2</v>
      </c>
      <c r="AX179">
        <v>50212018</v>
      </c>
      <c r="AY179">
        <v>1</v>
      </c>
      <c r="AZ179">
        <v>0</v>
      </c>
      <c r="BA179">
        <v>175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Y179*Source!I338</f>
        <v>9.2250000000000013E-2</v>
      </c>
      <c r="CY179">
        <f>AB179</f>
        <v>86.16</v>
      </c>
      <c r="CZ179">
        <f>AF179</f>
        <v>86.16</v>
      </c>
      <c r="DA179">
        <f>AJ179</f>
        <v>1</v>
      </c>
      <c r="DB179">
        <f>ROUND((ROUND(AT179*CZ179,2)*1.25),1)</f>
        <v>1938.6</v>
      </c>
      <c r="DC179">
        <f>ROUND((ROUND(AT179*AG179,2)*1.25),1)</f>
        <v>298.39999999999998</v>
      </c>
    </row>
    <row r="180" spans="1:107" x14ac:dyDescent="0.2">
      <c r="A180">
        <f>ROW(Source!A338)</f>
        <v>338</v>
      </c>
      <c r="B180">
        <v>50210945</v>
      </c>
      <c r="C180">
        <v>50212007</v>
      </c>
      <c r="D180">
        <v>45811901</v>
      </c>
      <c r="E180">
        <v>1</v>
      </c>
      <c r="F180">
        <v>1</v>
      </c>
      <c r="G180">
        <v>1</v>
      </c>
      <c r="H180">
        <v>2</v>
      </c>
      <c r="I180" t="s">
        <v>576</v>
      </c>
      <c r="J180" t="s">
        <v>577</v>
      </c>
      <c r="K180" t="s">
        <v>578</v>
      </c>
      <c r="L180">
        <v>45811227</v>
      </c>
      <c r="N180">
        <v>1013</v>
      </c>
      <c r="O180" t="s">
        <v>452</v>
      </c>
      <c r="P180" t="s">
        <v>452</v>
      </c>
      <c r="Q180">
        <v>1</v>
      </c>
      <c r="W180">
        <v>0</v>
      </c>
      <c r="X180">
        <v>-535918546</v>
      </c>
      <c r="Y180">
        <v>60</v>
      </c>
      <c r="AA180">
        <v>0</v>
      </c>
      <c r="AB180">
        <v>0.5</v>
      </c>
      <c r="AC180">
        <v>0</v>
      </c>
      <c r="AD180">
        <v>0</v>
      </c>
      <c r="AE180">
        <v>0</v>
      </c>
      <c r="AF180">
        <v>0.5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48</v>
      </c>
      <c r="AU180" t="s">
        <v>11</v>
      </c>
      <c r="AV180">
        <v>0</v>
      </c>
      <c r="AW180">
        <v>2</v>
      </c>
      <c r="AX180">
        <v>50212019</v>
      </c>
      <c r="AY180">
        <v>1</v>
      </c>
      <c r="AZ180">
        <v>0</v>
      </c>
      <c r="BA180">
        <v>176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Y180*Source!I338</f>
        <v>0.24600000000000002</v>
      </c>
      <c r="CY180">
        <f>AB180</f>
        <v>0.5</v>
      </c>
      <c r="CZ180">
        <f>AF180</f>
        <v>0.5</v>
      </c>
      <c r="DA180">
        <f>AJ180</f>
        <v>1</v>
      </c>
      <c r="DB180">
        <f>ROUND((ROUND(AT180*CZ180,2)*1.25),1)</f>
        <v>30</v>
      </c>
      <c r="DC180">
        <f>ROUND((ROUND(AT180*AG180,2)*1.25),1)</f>
        <v>0</v>
      </c>
    </row>
    <row r="181" spans="1:107" x14ac:dyDescent="0.2">
      <c r="A181">
        <f>ROW(Source!A338)</f>
        <v>338</v>
      </c>
      <c r="B181">
        <v>50210945</v>
      </c>
      <c r="C181">
        <v>50212007</v>
      </c>
      <c r="D181">
        <v>45813321</v>
      </c>
      <c r="E181">
        <v>1</v>
      </c>
      <c r="F181">
        <v>1</v>
      </c>
      <c r="G181">
        <v>1</v>
      </c>
      <c r="H181">
        <v>2</v>
      </c>
      <c r="I181" t="s">
        <v>532</v>
      </c>
      <c r="J181" t="s">
        <v>533</v>
      </c>
      <c r="K181" t="s">
        <v>534</v>
      </c>
      <c r="L181">
        <v>45811227</v>
      </c>
      <c r="N181">
        <v>1013</v>
      </c>
      <c r="O181" t="s">
        <v>452</v>
      </c>
      <c r="P181" t="s">
        <v>452</v>
      </c>
      <c r="Q181">
        <v>1</v>
      </c>
      <c r="W181">
        <v>0</v>
      </c>
      <c r="X181">
        <v>771999048</v>
      </c>
      <c r="Y181">
        <v>0.16250000000000001</v>
      </c>
      <c r="AA181">
        <v>0</v>
      </c>
      <c r="AB181">
        <v>86.55</v>
      </c>
      <c r="AC181">
        <v>0</v>
      </c>
      <c r="AD181">
        <v>0</v>
      </c>
      <c r="AE181">
        <v>0</v>
      </c>
      <c r="AF181">
        <v>86.55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0.13</v>
      </c>
      <c r="AU181" t="s">
        <v>11</v>
      </c>
      <c r="AV181">
        <v>0</v>
      </c>
      <c r="AW181">
        <v>2</v>
      </c>
      <c r="AX181">
        <v>50212020</v>
      </c>
      <c r="AY181">
        <v>1</v>
      </c>
      <c r="AZ181">
        <v>0</v>
      </c>
      <c r="BA181">
        <v>177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Y181*Source!I338</f>
        <v>6.6625000000000007E-4</v>
      </c>
      <c r="CY181">
        <f>AB181</f>
        <v>86.55</v>
      </c>
      <c r="CZ181">
        <f>AF181</f>
        <v>86.55</v>
      </c>
      <c r="DA181">
        <f>AJ181</f>
        <v>1</v>
      </c>
      <c r="DB181">
        <f>ROUND((ROUND(AT181*CZ181,2)*1.25),1)</f>
        <v>14.1</v>
      </c>
      <c r="DC181">
        <f>ROUND((ROUND(AT181*AG181,2)*1.25),1)</f>
        <v>0</v>
      </c>
    </row>
    <row r="182" spans="1:107" x14ac:dyDescent="0.2">
      <c r="A182">
        <f>ROW(Source!A338)</f>
        <v>338</v>
      </c>
      <c r="B182">
        <v>50210945</v>
      </c>
      <c r="C182">
        <v>50212007</v>
      </c>
      <c r="D182">
        <v>45816198</v>
      </c>
      <c r="E182">
        <v>1</v>
      </c>
      <c r="F182">
        <v>1</v>
      </c>
      <c r="G182">
        <v>1</v>
      </c>
      <c r="H182">
        <v>3</v>
      </c>
      <c r="I182" t="s">
        <v>579</v>
      </c>
      <c r="J182" t="s">
        <v>580</v>
      </c>
      <c r="K182" t="s">
        <v>581</v>
      </c>
      <c r="L182">
        <v>1327</v>
      </c>
      <c r="N182">
        <v>1005</v>
      </c>
      <c r="O182" t="s">
        <v>266</v>
      </c>
      <c r="P182" t="s">
        <v>266</v>
      </c>
      <c r="Q182">
        <v>1</v>
      </c>
      <c r="W182">
        <v>0</v>
      </c>
      <c r="X182">
        <v>844764035</v>
      </c>
      <c r="Y182">
        <v>250</v>
      </c>
      <c r="AA182">
        <v>9.1999999999999993</v>
      </c>
      <c r="AB182">
        <v>0</v>
      </c>
      <c r="AC182">
        <v>0</v>
      </c>
      <c r="AD182">
        <v>0</v>
      </c>
      <c r="AE182">
        <v>9.1999999999999993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0</v>
      </c>
      <c r="AQ182">
        <v>0</v>
      </c>
      <c r="AR182">
        <v>0</v>
      </c>
      <c r="AS182" t="s">
        <v>3</v>
      </c>
      <c r="AT182">
        <v>250</v>
      </c>
      <c r="AU182" t="s">
        <v>3</v>
      </c>
      <c r="AV182">
        <v>0</v>
      </c>
      <c r="AW182">
        <v>2</v>
      </c>
      <c r="AX182">
        <v>50212021</v>
      </c>
      <c r="AY182">
        <v>1</v>
      </c>
      <c r="AZ182">
        <v>0</v>
      </c>
      <c r="BA182">
        <v>178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Y182*Source!I338</f>
        <v>1.0250000000000001</v>
      </c>
      <c r="CY182">
        <f>AA182</f>
        <v>9.1999999999999993</v>
      </c>
      <c r="CZ182">
        <f>AE182</f>
        <v>9.1999999999999993</v>
      </c>
      <c r="DA182">
        <f>AI182</f>
        <v>1</v>
      </c>
      <c r="DB182">
        <f>ROUND(ROUND(AT182*CZ182,2),1)</f>
        <v>2300</v>
      </c>
      <c r="DC182">
        <f>ROUND(ROUND(AT182*AG182,2),1)</f>
        <v>0</v>
      </c>
    </row>
    <row r="183" spans="1:107" x14ac:dyDescent="0.2">
      <c r="A183">
        <f>ROW(Source!A338)</f>
        <v>338</v>
      </c>
      <c r="B183">
        <v>50210945</v>
      </c>
      <c r="C183">
        <v>50212007</v>
      </c>
      <c r="D183">
        <v>45853272</v>
      </c>
      <c r="E183">
        <v>1</v>
      </c>
      <c r="F183">
        <v>1</v>
      </c>
      <c r="G183">
        <v>1</v>
      </c>
      <c r="H183">
        <v>3</v>
      </c>
      <c r="I183" t="s">
        <v>582</v>
      </c>
      <c r="J183" t="s">
        <v>583</v>
      </c>
      <c r="K183" t="s">
        <v>584</v>
      </c>
      <c r="L183">
        <v>1339</v>
      </c>
      <c r="N183">
        <v>1007</v>
      </c>
      <c r="O183" t="s">
        <v>153</v>
      </c>
      <c r="P183" t="s">
        <v>153</v>
      </c>
      <c r="Q183">
        <v>1</v>
      </c>
      <c r="W183">
        <v>0</v>
      </c>
      <c r="X183">
        <v>243033570</v>
      </c>
      <c r="Y183">
        <v>102</v>
      </c>
      <c r="AA183">
        <v>481.52</v>
      </c>
      <c r="AB183">
        <v>0</v>
      </c>
      <c r="AC183">
        <v>0</v>
      </c>
      <c r="AD183">
        <v>0</v>
      </c>
      <c r="AE183">
        <v>481.52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0</v>
      </c>
      <c r="AQ183">
        <v>0</v>
      </c>
      <c r="AR183">
        <v>0</v>
      </c>
      <c r="AS183" t="s">
        <v>3</v>
      </c>
      <c r="AT183">
        <v>102</v>
      </c>
      <c r="AU183" t="s">
        <v>3</v>
      </c>
      <c r="AV183">
        <v>0</v>
      </c>
      <c r="AW183">
        <v>2</v>
      </c>
      <c r="AX183">
        <v>50212022</v>
      </c>
      <c r="AY183">
        <v>1</v>
      </c>
      <c r="AZ183">
        <v>0</v>
      </c>
      <c r="BA183">
        <v>179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Y183*Source!I338</f>
        <v>0.41820000000000002</v>
      </c>
      <c r="CY183">
        <f>AA183</f>
        <v>481.52</v>
      </c>
      <c r="CZ183">
        <f>AE183</f>
        <v>481.52</v>
      </c>
      <c r="DA183">
        <f>AI183</f>
        <v>1</v>
      </c>
      <c r="DB183">
        <f>ROUND(ROUND(AT183*CZ183,2),1)</f>
        <v>49115</v>
      </c>
      <c r="DC183">
        <f>ROUND(ROUND(AT183*AG183,2),1)</f>
        <v>0</v>
      </c>
    </row>
    <row r="184" spans="1:107" x14ac:dyDescent="0.2">
      <c r="A184">
        <f>ROW(Source!A338)</f>
        <v>338</v>
      </c>
      <c r="B184">
        <v>50210945</v>
      </c>
      <c r="C184">
        <v>50212007</v>
      </c>
      <c r="D184">
        <v>45865353</v>
      </c>
      <c r="E184">
        <v>1</v>
      </c>
      <c r="F184">
        <v>1</v>
      </c>
      <c r="G184">
        <v>1</v>
      </c>
      <c r="H184">
        <v>3</v>
      </c>
      <c r="I184" t="s">
        <v>488</v>
      </c>
      <c r="J184" t="s">
        <v>489</v>
      </c>
      <c r="K184" t="s">
        <v>490</v>
      </c>
      <c r="L184">
        <v>1339</v>
      </c>
      <c r="N184">
        <v>1007</v>
      </c>
      <c r="O184" t="s">
        <v>153</v>
      </c>
      <c r="P184" t="s">
        <v>153</v>
      </c>
      <c r="Q184">
        <v>1</v>
      </c>
      <c r="W184">
        <v>0</v>
      </c>
      <c r="X184">
        <v>-1025641989</v>
      </c>
      <c r="Y184">
        <v>0.2</v>
      </c>
      <c r="AA184">
        <v>2.2599999999999998</v>
      </c>
      <c r="AB184">
        <v>0</v>
      </c>
      <c r="AC184">
        <v>0</v>
      </c>
      <c r="AD184">
        <v>0</v>
      </c>
      <c r="AE184">
        <v>2.2599999999999998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0.2</v>
      </c>
      <c r="AU184" t="s">
        <v>3</v>
      </c>
      <c r="AV184">
        <v>0</v>
      </c>
      <c r="AW184">
        <v>2</v>
      </c>
      <c r="AX184">
        <v>50212023</v>
      </c>
      <c r="AY184">
        <v>1</v>
      </c>
      <c r="AZ184">
        <v>0</v>
      </c>
      <c r="BA184">
        <v>180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Y184*Source!I338</f>
        <v>8.2000000000000009E-4</v>
      </c>
      <c r="CY184">
        <f>AA184</f>
        <v>2.2599999999999998</v>
      </c>
      <c r="CZ184">
        <f>AE184</f>
        <v>2.2599999999999998</v>
      </c>
      <c r="DA184">
        <f>AI184</f>
        <v>1</v>
      </c>
      <c r="DB184">
        <f>ROUND(ROUND(AT184*CZ184,2),1)</f>
        <v>0.5</v>
      </c>
      <c r="DC184">
        <f>ROUND(ROUND(AT184*AG184,2),1)</f>
        <v>0</v>
      </c>
    </row>
    <row r="185" spans="1:107" x14ac:dyDescent="0.2">
      <c r="A185">
        <f>ROW(Source!A339)</f>
        <v>339</v>
      </c>
      <c r="B185">
        <v>50210945</v>
      </c>
      <c r="C185">
        <v>50212024</v>
      </c>
      <c r="D185">
        <v>45981686</v>
      </c>
      <c r="E185">
        <v>1</v>
      </c>
      <c r="F185">
        <v>1</v>
      </c>
      <c r="G185">
        <v>1</v>
      </c>
      <c r="H185">
        <v>1</v>
      </c>
      <c r="I185" t="s">
        <v>556</v>
      </c>
      <c r="J185" t="s">
        <v>3</v>
      </c>
      <c r="K185" t="s">
        <v>557</v>
      </c>
      <c r="L185">
        <v>1476</v>
      </c>
      <c r="N185">
        <v>1013</v>
      </c>
      <c r="O185" t="s">
        <v>447</v>
      </c>
      <c r="P185" t="s">
        <v>448</v>
      </c>
      <c r="Q185">
        <v>1</v>
      </c>
      <c r="W185">
        <v>0</v>
      </c>
      <c r="X185">
        <v>-1949506561</v>
      </c>
      <c r="Y185">
        <v>101.77499999999999</v>
      </c>
      <c r="AA185">
        <v>0</v>
      </c>
      <c r="AB185">
        <v>0</v>
      </c>
      <c r="AC185">
        <v>0</v>
      </c>
      <c r="AD185">
        <v>6.1</v>
      </c>
      <c r="AE185">
        <v>0</v>
      </c>
      <c r="AF185">
        <v>0</v>
      </c>
      <c r="AG185">
        <v>0</v>
      </c>
      <c r="AH185">
        <v>6.1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88.5</v>
      </c>
      <c r="AU185" t="s">
        <v>12</v>
      </c>
      <c r="AV185">
        <v>1</v>
      </c>
      <c r="AW185">
        <v>2</v>
      </c>
      <c r="AX185">
        <v>50212026</v>
      </c>
      <c r="AY185">
        <v>1</v>
      </c>
      <c r="AZ185">
        <v>0</v>
      </c>
      <c r="BA185">
        <v>181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Y185*Source!I339</f>
        <v>0.41727750000000002</v>
      </c>
      <c r="CY185">
        <f>AD185</f>
        <v>6.1</v>
      </c>
      <c r="CZ185">
        <f>AH185</f>
        <v>6.1</v>
      </c>
      <c r="DA185">
        <f>AL185</f>
        <v>1</v>
      </c>
      <c r="DB185">
        <f>ROUND((ROUND(AT185*CZ185,2)*1.15),1)</f>
        <v>620.79999999999995</v>
      </c>
      <c r="DC185">
        <f>ROUND((ROUND(AT185*AG185,2)*1.15),1)</f>
        <v>0</v>
      </c>
    </row>
    <row r="186" spans="1:107" x14ac:dyDescent="0.2">
      <c r="A186">
        <f>ROW(Source!A412)</f>
        <v>412</v>
      </c>
      <c r="B186">
        <v>50210945</v>
      </c>
      <c r="C186">
        <v>50212027</v>
      </c>
      <c r="D186">
        <v>45977011</v>
      </c>
      <c r="E186">
        <v>1</v>
      </c>
      <c r="F186">
        <v>1</v>
      </c>
      <c r="G186">
        <v>1</v>
      </c>
      <c r="H186">
        <v>1</v>
      </c>
      <c r="I186" t="s">
        <v>585</v>
      </c>
      <c r="J186" t="s">
        <v>3</v>
      </c>
      <c r="K186" t="s">
        <v>586</v>
      </c>
      <c r="L186">
        <v>1476</v>
      </c>
      <c r="N186">
        <v>1013</v>
      </c>
      <c r="O186" t="s">
        <v>447</v>
      </c>
      <c r="P186" t="s">
        <v>448</v>
      </c>
      <c r="Q186">
        <v>1</v>
      </c>
      <c r="W186">
        <v>0</v>
      </c>
      <c r="X186">
        <v>61709741</v>
      </c>
      <c r="Y186">
        <v>243.35</v>
      </c>
      <c r="AA186">
        <v>0</v>
      </c>
      <c r="AB186">
        <v>0</v>
      </c>
      <c r="AC186">
        <v>0</v>
      </c>
      <c r="AD186">
        <v>6.76</v>
      </c>
      <c r="AE186">
        <v>0</v>
      </c>
      <c r="AF186">
        <v>0</v>
      </c>
      <c r="AG186">
        <v>0</v>
      </c>
      <c r="AH186">
        <v>6.76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243.35</v>
      </c>
      <c r="AU186" t="s">
        <v>3</v>
      </c>
      <c r="AV186">
        <v>1</v>
      </c>
      <c r="AW186">
        <v>2</v>
      </c>
      <c r="AX186">
        <v>50212034</v>
      </c>
      <c r="AY186">
        <v>1</v>
      </c>
      <c r="AZ186">
        <v>0</v>
      </c>
      <c r="BA186">
        <v>182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Y186*Source!I412</f>
        <v>17.034500000000001</v>
      </c>
      <c r="CY186">
        <f>AD186</f>
        <v>6.76</v>
      </c>
      <c r="CZ186">
        <f>AH186</f>
        <v>6.76</v>
      </c>
      <c r="DA186">
        <f>AL186</f>
        <v>1</v>
      </c>
      <c r="DB186">
        <f t="shared" ref="DB186:DB191" si="27">ROUND(ROUND(AT186*CZ186,2),1)</f>
        <v>1645.1</v>
      </c>
      <c r="DC186">
        <f t="shared" ref="DC186:DC191" si="28">ROUND(ROUND(AT186*AG186,2),1)</f>
        <v>0</v>
      </c>
    </row>
    <row r="187" spans="1:107" x14ac:dyDescent="0.2">
      <c r="A187">
        <f>ROW(Source!A412)</f>
        <v>412</v>
      </c>
      <c r="B187">
        <v>50210945</v>
      </c>
      <c r="C187">
        <v>50212027</v>
      </c>
      <c r="D187">
        <v>121548</v>
      </c>
      <c r="E187">
        <v>1</v>
      </c>
      <c r="F187">
        <v>1</v>
      </c>
      <c r="G187">
        <v>1</v>
      </c>
      <c r="H187">
        <v>1</v>
      </c>
      <c r="I187" t="s">
        <v>25</v>
      </c>
      <c r="J187" t="s">
        <v>3</v>
      </c>
      <c r="K187" t="s">
        <v>463</v>
      </c>
      <c r="L187">
        <v>608254</v>
      </c>
      <c r="N187">
        <v>1013</v>
      </c>
      <c r="O187" t="s">
        <v>464</v>
      </c>
      <c r="P187" t="s">
        <v>464</v>
      </c>
      <c r="Q187">
        <v>1</v>
      </c>
      <c r="W187">
        <v>0</v>
      </c>
      <c r="X187">
        <v>-185737400</v>
      </c>
      <c r="Y187">
        <v>41.39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41.39</v>
      </c>
      <c r="AU187" t="s">
        <v>3</v>
      </c>
      <c r="AV187">
        <v>2</v>
      </c>
      <c r="AW187">
        <v>2</v>
      </c>
      <c r="AX187">
        <v>50212035</v>
      </c>
      <c r="AY187">
        <v>1</v>
      </c>
      <c r="AZ187">
        <v>0</v>
      </c>
      <c r="BA187">
        <v>183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Y187*Source!I412</f>
        <v>2.8973000000000004</v>
      </c>
      <c r="CY187">
        <f>AD187</f>
        <v>0</v>
      </c>
      <c r="CZ187">
        <f>AH187</f>
        <v>0</v>
      </c>
      <c r="DA187">
        <f>AL187</f>
        <v>1</v>
      </c>
      <c r="DB187">
        <f t="shared" si="27"/>
        <v>0</v>
      </c>
      <c r="DC187">
        <f t="shared" si="28"/>
        <v>0</v>
      </c>
    </row>
    <row r="188" spans="1:107" x14ac:dyDescent="0.2">
      <c r="A188">
        <f>ROW(Source!A412)</f>
        <v>412</v>
      </c>
      <c r="B188">
        <v>50210945</v>
      </c>
      <c r="C188">
        <v>50212027</v>
      </c>
      <c r="D188">
        <v>45811598</v>
      </c>
      <c r="E188">
        <v>1</v>
      </c>
      <c r="F188">
        <v>1</v>
      </c>
      <c r="G188">
        <v>1</v>
      </c>
      <c r="H188">
        <v>2</v>
      </c>
      <c r="I188" t="s">
        <v>493</v>
      </c>
      <c r="J188" t="s">
        <v>494</v>
      </c>
      <c r="K188" t="s">
        <v>495</v>
      </c>
      <c r="L188">
        <v>45811227</v>
      </c>
      <c r="N188">
        <v>1013</v>
      </c>
      <c r="O188" t="s">
        <v>452</v>
      </c>
      <c r="P188" t="s">
        <v>452</v>
      </c>
      <c r="Q188">
        <v>1</v>
      </c>
      <c r="W188">
        <v>0</v>
      </c>
      <c r="X188">
        <v>-283582980</v>
      </c>
      <c r="Y188">
        <v>39.25</v>
      </c>
      <c r="AA188">
        <v>0</v>
      </c>
      <c r="AB188">
        <v>89.82</v>
      </c>
      <c r="AC188">
        <v>9.8800000000000008</v>
      </c>
      <c r="AD188">
        <v>0</v>
      </c>
      <c r="AE188">
        <v>0</v>
      </c>
      <c r="AF188">
        <v>89.82</v>
      </c>
      <c r="AG188">
        <v>9.8800000000000008</v>
      </c>
      <c r="AH188">
        <v>0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39.25</v>
      </c>
      <c r="AU188" t="s">
        <v>3</v>
      </c>
      <c r="AV188">
        <v>0</v>
      </c>
      <c r="AW188">
        <v>2</v>
      </c>
      <c r="AX188">
        <v>50212036</v>
      </c>
      <c r="AY188">
        <v>1</v>
      </c>
      <c r="AZ188">
        <v>0</v>
      </c>
      <c r="BA188">
        <v>184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Y188*Source!I412</f>
        <v>2.7475000000000001</v>
      </c>
      <c r="CY188">
        <f>AB188</f>
        <v>89.82</v>
      </c>
      <c r="CZ188">
        <f>AF188</f>
        <v>89.82</v>
      </c>
      <c r="DA188">
        <f>AJ188</f>
        <v>1</v>
      </c>
      <c r="DB188">
        <f t="shared" si="27"/>
        <v>3525.4</v>
      </c>
      <c r="DC188">
        <f t="shared" si="28"/>
        <v>387.8</v>
      </c>
    </row>
    <row r="189" spans="1:107" x14ac:dyDescent="0.2">
      <c r="A189">
        <f>ROW(Source!A412)</f>
        <v>412</v>
      </c>
      <c r="B189">
        <v>50210945</v>
      </c>
      <c r="C189">
        <v>50212027</v>
      </c>
      <c r="D189">
        <v>45811793</v>
      </c>
      <c r="E189">
        <v>1</v>
      </c>
      <c r="F189">
        <v>1</v>
      </c>
      <c r="G189">
        <v>1</v>
      </c>
      <c r="H189">
        <v>2</v>
      </c>
      <c r="I189" t="s">
        <v>587</v>
      </c>
      <c r="J189" t="s">
        <v>588</v>
      </c>
      <c r="K189" t="s">
        <v>589</v>
      </c>
      <c r="L189">
        <v>45811227</v>
      </c>
      <c r="N189">
        <v>1013</v>
      </c>
      <c r="O189" t="s">
        <v>452</v>
      </c>
      <c r="P189" t="s">
        <v>452</v>
      </c>
      <c r="Q189">
        <v>1</v>
      </c>
      <c r="W189">
        <v>0</v>
      </c>
      <c r="X189">
        <v>784610195</v>
      </c>
      <c r="Y189">
        <v>1.29</v>
      </c>
      <c r="AA189">
        <v>0</v>
      </c>
      <c r="AB189">
        <v>8</v>
      </c>
      <c r="AC189">
        <v>0</v>
      </c>
      <c r="AD189">
        <v>0</v>
      </c>
      <c r="AE189">
        <v>0</v>
      </c>
      <c r="AF189">
        <v>8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1.29</v>
      </c>
      <c r="AU189" t="s">
        <v>3</v>
      </c>
      <c r="AV189">
        <v>0</v>
      </c>
      <c r="AW189">
        <v>2</v>
      </c>
      <c r="AX189">
        <v>50212037</v>
      </c>
      <c r="AY189">
        <v>1</v>
      </c>
      <c r="AZ189">
        <v>0</v>
      </c>
      <c r="BA189">
        <v>185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Y189*Source!I412</f>
        <v>9.0300000000000005E-2</v>
      </c>
      <c r="CY189">
        <f>AB189</f>
        <v>8</v>
      </c>
      <c r="CZ189">
        <f>AF189</f>
        <v>8</v>
      </c>
      <c r="DA189">
        <f>AJ189</f>
        <v>1</v>
      </c>
      <c r="DB189">
        <f t="shared" si="27"/>
        <v>10.3</v>
      </c>
      <c r="DC189">
        <f t="shared" si="28"/>
        <v>0</v>
      </c>
    </row>
    <row r="190" spans="1:107" x14ac:dyDescent="0.2">
      <c r="A190">
        <f>ROW(Source!A412)</f>
        <v>412</v>
      </c>
      <c r="B190">
        <v>50210945</v>
      </c>
      <c r="C190">
        <v>50212027</v>
      </c>
      <c r="D190">
        <v>45811921</v>
      </c>
      <c r="E190">
        <v>1</v>
      </c>
      <c r="F190">
        <v>1</v>
      </c>
      <c r="G190">
        <v>1</v>
      </c>
      <c r="H190">
        <v>2</v>
      </c>
      <c r="I190" t="s">
        <v>501</v>
      </c>
      <c r="J190" t="s">
        <v>502</v>
      </c>
      <c r="K190" t="s">
        <v>503</v>
      </c>
      <c r="L190">
        <v>45811227</v>
      </c>
      <c r="N190">
        <v>1013</v>
      </c>
      <c r="O190" t="s">
        <v>452</v>
      </c>
      <c r="P190" t="s">
        <v>452</v>
      </c>
      <c r="Q190">
        <v>1</v>
      </c>
      <c r="W190">
        <v>0</v>
      </c>
      <c r="X190">
        <v>-1104063720</v>
      </c>
      <c r="Y190">
        <v>2.14</v>
      </c>
      <c r="AA190">
        <v>0</v>
      </c>
      <c r="AB190">
        <v>122.76</v>
      </c>
      <c r="AC190">
        <v>13.26</v>
      </c>
      <c r="AD190">
        <v>0</v>
      </c>
      <c r="AE190">
        <v>0</v>
      </c>
      <c r="AF190">
        <v>122.76</v>
      </c>
      <c r="AG190">
        <v>13.26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2.14</v>
      </c>
      <c r="AU190" t="s">
        <v>3</v>
      </c>
      <c r="AV190">
        <v>0</v>
      </c>
      <c r="AW190">
        <v>2</v>
      </c>
      <c r="AX190">
        <v>50212038</v>
      </c>
      <c r="AY190">
        <v>1</v>
      </c>
      <c r="AZ190">
        <v>0</v>
      </c>
      <c r="BA190">
        <v>186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Y190*Source!I412</f>
        <v>0.14980000000000002</v>
      </c>
      <c r="CY190">
        <f>AB190</f>
        <v>122.76</v>
      </c>
      <c r="CZ190">
        <f>AF190</f>
        <v>122.76</v>
      </c>
      <c r="DA190">
        <f>AJ190</f>
        <v>1</v>
      </c>
      <c r="DB190">
        <f t="shared" si="27"/>
        <v>262.7</v>
      </c>
      <c r="DC190">
        <f t="shared" si="28"/>
        <v>28.4</v>
      </c>
    </row>
    <row r="191" spans="1:107" x14ac:dyDescent="0.2">
      <c r="A191">
        <f>ROW(Source!A412)</f>
        <v>412</v>
      </c>
      <c r="B191">
        <v>50210945</v>
      </c>
      <c r="C191">
        <v>50212027</v>
      </c>
      <c r="D191">
        <v>45813004</v>
      </c>
      <c r="E191">
        <v>1</v>
      </c>
      <c r="F191">
        <v>1</v>
      </c>
      <c r="G191">
        <v>1</v>
      </c>
      <c r="H191">
        <v>2</v>
      </c>
      <c r="I191" t="s">
        <v>460</v>
      </c>
      <c r="J191" t="s">
        <v>461</v>
      </c>
      <c r="K191" t="s">
        <v>462</v>
      </c>
      <c r="L191">
        <v>45811227</v>
      </c>
      <c r="N191">
        <v>1013</v>
      </c>
      <c r="O191" t="s">
        <v>452</v>
      </c>
      <c r="P191" t="s">
        <v>452</v>
      </c>
      <c r="Q191">
        <v>1</v>
      </c>
      <c r="W191">
        <v>0</v>
      </c>
      <c r="X191">
        <v>72613353</v>
      </c>
      <c r="Y191">
        <v>117.75</v>
      </c>
      <c r="AA191">
        <v>0</v>
      </c>
      <c r="AB191">
        <v>1.53</v>
      </c>
      <c r="AC191">
        <v>0</v>
      </c>
      <c r="AD191">
        <v>0</v>
      </c>
      <c r="AE191">
        <v>0</v>
      </c>
      <c r="AF191">
        <v>1.53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117.75</v>
      </c>
      <c r="AU191" t="s">
        <v>3</v>
      </c>
      <c r="AV191">
        <v>0</v>
      </c>
      <c r="AW191">
        <v>2</v>
      </c>
      <c r="AX191">
        <v>50212039</v>
      </c>
      <c r="AY191">
        <v>1</v>
      </c>
      <c r="AZ191">
        <v>0</v>
      </c>
      <c r="BA191">
        <v>187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Y191*Source!I412</f>
        <v>8.2425000000000015</v>
      </c>
      <c r="CY191">
        <f>AB191</f>
        <v>1.53</v>
      </c>
      <c r="CZ191">
        <f>AF191</f>
        <v>1.53</v>
      </c>
      <c r="DA191">
        <f>AJ191</f>
        <v>1</v>
      </c>
      <c r="DB191">
        <f t="shared" si="27"/>
        <v>180.2</v>
      </c>
      <c r="DC191">
        <f t="shared" si="28"/>
        <v>0</v>
      </c>
    </row>
    <row r="192" spans="1:107" x14ac:dyDescent="0.2">
      <c r="A192">
        <f>ROW(Source!A415)</f>
        <v>415</v>
      </c>
      <c r="B192">
        <v>50210945</v>
      </c>
      <c r="C192">
        <v>50212042</v>
      </c>
      <c r="D192">
        <v>45968655</v>
      </c>
      <c r="E192">
        <v>1</v>
      </c>
      <c r="F192">
        <v>1</v>
      </c>
      <c r="G192">
        <v>1</v>
      </c>
      <c r="H192">
        <v>1</v>
      </c>
      <c r="I192" t="s">
        <v>455</v>
      </c>
      <c r="J192" t="s">
        <v>3</v>
      </c>
      <c r="K192" t="s">
        <v>456</v>
      </c>
      <c r="L192">
        <v>1476</v>
      </c>
      <c r="N192">
        <v>1013</v>
      </c>
      <c r="O192" t="s">
        <v>447</v>
      </c>
      <c r="P192" t="s">
        <v>448</v>
      </c>
      <c r="Q192">
        <v>1</v>
      </c>
      <c r="W192">
        <v>0</v>
      </c>
      <c r="X192">
        <v>421273387</v>
      </c>
      <c r="Y192">
        <v>134.34299999999999</v>
      </c>
      <c r="AA192">
        <v>0</v>
      </c>
      <c r="AB192">
        <v>0</v>
      </c>
      <c r="AC192">
        <v>0</v>
      </c>
      <c r="AD192">
        <v>6.94</v>
      </c>
      <c r="AE192">
        <v>0</v>
      </c>
      <c r="AF192">
        <v>0</v>
      </c>
      <c r="AG192">
        <v>0</v>
      </c>
      <c r="AH192">
        <v>6.94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116.82</v>
      </c>
      <c r="AU192" t="s">
        <v>62</v>
      </c>
      <c r="AV192">
        <v>1</v>
      </c>
      <c r="AW192">
        <v>2</v>
      </c>
      <c r="AX192">
        <v>50212058</v>
      </c>
      <c r="AY192">
        <v>1</v>
      </c>
      <c r="AZ192">
        <v>0</v>
      </c>
      <c r="BA192">
        <v>188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Y192*Source!I415</f>
        <v>3.2242319999999998</v>
      </c>
      <c r="CY192">
        <f>AD192</f>
        <v>6.94</v>
      </c>
      <c r="CZ192">
        <f>AH192</f>
        <v>6.94</v>
      </c>
      <c r="DA192">
        <f>AL192</f>
        <v>1</v>
      </c>
      <c r="DB192">
        <f>ROUND((ROUND(AT192*CZ192,2)*1.15),1)</f>
        <v>932.3</v>
      </c>
      <c r="DC192">
        <f>ROUND((ROUND(AT192*AG192,2)*1.15),1)</f>
        <v>0</v>
      </c>
    </row>
    <row r="193" spans="1:107" x14ac:dyDescent="0.2">
      <c r="A193">
        <f>ROW(Source!A415)</f>
        <v>415</v>
      </c>
      <c r="B193">
        <v>50210945</v>
      </c>
      <c r="C193">
        <v>50212042</v>
      </c>
      <c r="D193">
        <v>121548</v>
      </c>
      <c r="E193">
        <v>1</v>
      </c>
      <c r="F193">
        <v>1</v>
      </c>
      <c r="G193">
        <v>1</v>
      </c>
      <c r="H193">
        <v>1</v>
      </c>
      <c r="I193" t="s">
        <v>25</v>
      </c>
      <c r="J193" t="s">
        <v>3</v>
      </c>
      <c r="K193" t="s">
        <v>463</v>
      </c>
      <c r="L193">
        <v>608254</v>
      </c>
      <c r="N193">
        <v>1013</v>
      </c>
      <c r="O193" t="s">
        <v>464</v>
      </c>
      <c r="P193" t="s">
        <v>464</v>
      </c>
      <c r="Q193">
        <v>1</v>
      </c>
      <c r="W193">
        <v>0</v>
      </c>
      <c r="X193">
        <v>-185737400</v>
      </c>
      <c r="Y193">
        <v>24.3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19.440000000000001</v>
      </c>
      <c r="AU193" t="s">
        <v>61</v>
      </c>
      <c r="AV193">
        <v>2</v>
      </c>
      <c r="AW193">
        <v>2</v>
      </c>
      <c r="AX193">
        <v>50212059</v>
      </c>
      <c r="AY193">
        <v>1</v>
      </c>
      <c r="AZ193">
        <v>0</v>
      </c>
      <c r="BA193">
        <v>189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Y193*Source!I415</f>
        <v>0.58320000000000005</v>
      </c>
      <c r="CY193">
        <f>AD193</f>
        <v>0</v>
      </c>
      <c r="CZ193">
        <f>AH193</f>
        <v>0</v>
      </c>
      <c r="DA193">
        <f>AL193</f>
        <v>1</v>
      </c>
      <c r="DB193">
        <f t="shared" ref="DB193:DB199" si="29">ROUND((ROUND(AT193*CZ193,2)*1.25),1)</f>
        <v>0</v>
      </c>
      <c r="DC193">
        <f t="shared" ref="DC193:DC199" si="30">ROUND((ROUND(AT193*AG193,2)*1.25),1)</f>
        <v>0</v>
      </c>
    </row>
    <row r="194" spans="1:107" x14ac:dyDescent="0.2">
      <c r="A194">
        <f>ROW(Source!A415)</f>
        <v>415</v>
      </c>
      <c r="B194">
        <v>50210945</v>
      </c>
      <c r="C194">
        <v>50212042</v>
      </c>
      <c r="D194">
        <v>45811272</v>
      </c>
      <c r="E194">
        <v>1</v>
      </c>
      <c r="F194">
        <v>1</v>
      </c>
      <c r="G194">
        <v>1</v>
      </c>
      <c r="H194">
        <v>2</v>
      </c>
      <c r="I194" t="s">
        <v>573</v>
      </c>
      <c r="J194" t="s">
        <v>574</v>
      </c>
      <c r="K194" t="s">
        <v>575</v>
      </c>
      <c r="L194">
        <v>45811227</v>
      </c>
      <c r="N194">
        <v>1013</v>
      </c>
      <c r="O194" t="s">
        <v>452</v>
      </c>
      <c r="P194" t="s">
        <v>452</v>
      </c>
      <c r="Q194">
        <v>1</v>
      </c>
      <c r="W194">
        <v>0</v>
      </c>
      <c r="X194">
        <v>1763908544</v>
      </c>
      <c r="Y194">
        <v>23.35</v>
      </c>
      <c r="AA194">
        <v>0</v>
      </c>
      <c r="AB194">
        <v>86.16</v>
      </c>
      <c r="AC194">
        <v>13.26</v>
      </c>
      <c r="AD194">
        <v>0</v>
      </c>
      <c r="AE194">
        <v>0</v>
      </c>
      <c r="AF194">
        <v>86.16</v>
      </c>
      <c r="AG194">
        <v>13.26</v>
      </c>
      <c r="AH194">
        <v>0</v>
      </c>
      <c r="AI194">
        <v>1</v>
      </c>
      <c r="AJ194">
        <v>1</v>
      </c>
      <c r="AK194">
        <v>1</v>
      </c>
      <c r="AL194">
        <v>1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18.68</v>
      </c>
      <c r="AU194" t="s">
        <v>61</v>
      </c>
      <c r="AV194">
        <v>0</v>
      </c>
      <c r="AW194">
        <v>2</v>
      </c>
      <c r="AX194">
        <v>50212060</v>
      </c>
      <c r="AY194">
        <v>1</v>
      </c>
      <c r="AZ194">
        <v>0</v>
      </c>
      <c r="BA194">
        <v>190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Y194*Source!I415</f>
        <v>0.56040000000000001</v>
      </c>
      <c r="CY194">
        <f t="shared" ref="CY194:CY199" si="31">AB194</f>
        <v>86.16</v>
      </c>
      <c r="CZ194">
        <f t="shared" ref="CZ194:CZ199" si="32">AF194</f>
        <v>86.16</v>
      </c>
      <c r="DA194">
        <f t="shared" ref="DA194:DA199" si="33">AJ194</f>
        <v>1</v>
      </c>
      <c r="DB194">
        <f t="shared" si="29"/>
        <v>2011.8</v>
      </c>
      <c r="DC194">
        <f t="shared" si="30"/>
        <v>309.60000000000002</v>
      </c>
    </row>
    <row r="195" spans="1:107" x14ac:dyDescent="0.2">
      <c r="A195">
        <f>ROW(Source!A415)</f>
        <v>415</v>
      </c>
      <c r="B195">
        <v>50210945</v>
      </c>
      <c r="C195">
        <v>50212042</v>
      </c>
      <c r="D195">
        <v>45811353</v>
      </c>
      <c r="E195">
        <v>1</v>
      </c>
      <c r="F195">
        <v>1</v>
      </c>
      <c r="G195">
        <v>1</v>
      </c>
      <c r="H195">
        <v>2</v>
      </c>
      <c r="I195" t="s">
        <v>517</v>
      </c>
      <c r="J195" t="s">
        <v>518</v>
      </c>
      <c r="K195" t="s">
        <v>519</v>
      </c>
      <c r="L195">
        <v>45811227</v>
      </c>
      <c r="N195">
        <v>1013</v>
      </c>
      <c r="O195" t="s">
        <v>452</v>
      </c>
      <c r="P195" t="s">
        <v>452</v>
      </c>
      <c r="Q195">
        <v>1</v>
      </c>
      <c r="W195">
        <v>0</v>
      </c>
      <c r="X195">
        <v>642700064</v>
      </c>
      <c r="Y195">
        <v>0.61250000000000004</v>
      </c>
      <c r="AA195">
        <v>0</v>
      </c>
      <c r="AB195">
        <v>111.75</v>
      </c>
      <c r="AC195">
        <v>13.26</v>
      </c>
      <c r="AD195">
        <v>0</v>
      </c>
      <c r="AE195">
        <v>0</v>
      </c>
      <c r="AF195">
        <v>111.75</v>
      </c>
      <c r="AG195">
        <v>13.26</v>
      </c>
      <c r="AH195">
        <v>0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0.49</v>
      </c>
      <c r="AU195" t="s">
        <v>61</v>
      </c>
      <c r="AV195">
        <v>0</v>
      </c>
      <c r="AW195">
        <v>2</v>
      </c>
      <c r="AX195">
        <v>50212061</v>
      </c>
      <c r="AY195">
        <v>1</v>
      </c>
      <c r="AZ195">
        <v>0</v>
      </c>
      <c r="BA195">
        <v>191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Y195*Source!I415</f>
        <v>1.4700000000000001E-2</v>
      </c>
      <c r="CY195">
        <f t="shared" si="31"/>
        <v>111.75</v>
      </c>
      <c r="CZ195">
        <f t="shared" si="32"/>
        <v>111.75</v>
      </c>
      <c r="DA195">
        <f t="shared" si="33"/>
        <v>1</v>
      </c>
      <c r="DB195">
        <f t="shared" si="29"/>
        <v>68.5</v>
      </c>
      <c r="DC195">
        <f t="shared" si="30"/>
        <v>8.1</v>
      </c>
    </row>
    <row r="196" spans="1:107" x14ac:dyDescent="0.2">
      <c r="A196">
        <f>ROW(Source!A415)</f>
        <v>415</v>
      </c>
      <c r="B196">
        <v>50210945</v>
      </c>
      <c r="C196">
        <v>50212042</v>
      </c>
      <c r="D196">
        <v>45811426</v>
      </c>
      <c r="E196">
        <v>1</v>
      </c>
      <c r="F196">
        <v>1</v>
      </c>
      <c r="G196">
        <v>1</v>
      </c>
      <c r="H196">
        <v>2</v>
      </c>
      <c r="I196" t="s">
        <v>498</v>
      </c>
      <c r="J196" t="s">
        <v>499</v>
      </c>
      <c r="K196" t="s">
        <v>500</v>
      </c>
      <c r="L196">
        <v>45811227</v>
      </c>
      <c r="N196">
        <v>1013</v>
      </c>
      <c r="O196" t="s">
        <v>452</v>
      </c>
      <c r="P196" t="s">
        <v>452</v>
      </c>
      <c r="Q196">
        <v>1</v>
      </c>
      <c r="W196">
        <v>0</v>
      </c>
      <c r="X196">
        <v>-1615317198</v>
      </c>
      <c r="Y196">
        <v>0.33750000000000002</v>
      </c>
      <c r="AA196">
        <v>0</v>
      </c>
      <c r="AB196">
        <v>89.81</v>
      </c>
      <c r="AC196">
        <v>9.8800000000000008</v>
      </c>
      <c r="AD196">
        <v>0</v>
      </c>
      <c r="AE196">
        <v>0</v>
      </c>
      <c r="AF196">
        <v>89.81</v>
      </c>
      <c r="AG196">
        <v>9.8800000000000008</v>
      </c>
      <c r="AH196">
        <v>0</v>
      </c>
      <c r="AI196">
        <v>1</v>
      </c>
      <c r="AJ196">
        <v>1</v>
      </c>
      <c r="AK196">
        <v>1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0.27</v>
      </c>
      <c r="AU196" t="s">
        <v>61</v>
      </c>
      <c r="AV196">
        <v>0</v>
      </c>
      <c r="AW196">
        <v>2</v>
      </c>
      <c r="AX196">
        <v>50212062</v>
      </c>
      <c r="AY196">
        <v>1</v>
      </c>
      <c r="AZ196">
        <v>0</v>
      </c>
      <c r="BA196">
        <v>192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Y196*Source!I415</f>
        <v>8.1000000000000013E-3</v>
      </c>
      <c r="CY196">
        <f t="shared" si="31"/>
        <v>89.81</v>
      </c>
      <c r="CZ196">
        <f t="shared" si="32"/>
        <v>89.81</v>
      </c>
      <c r="DA196">
        <f t="shared" si="33"/>
        <v>1</v>
      </c>
      <c r="DB196">
        <f t="shared" si="29"/>
        <v>30.3</v>
      </c>
      <c r="DC196">
        <f t="shared" si="30"/>
        <v>3.3</v>
      </c>
    </row>
    <row r="197" spans="1:107" x14ac:dyDescent="0.2">
      <c r="A197">
        <f>ROW(Source!A415)</f>
        <v>415</v>
      </c>
      <c r="B197">
        <v>50210945</v>
      </c>
      <c r="C197">
        <v>50212042</v>
      </c>
      <c r="D197">
        <v>45811899</v>
      </c>
      <c r="E197">
        <v>1</v>
      </c>
      <c r="F197">
        <v>1</v>
      </c>
      <c r="G197">
        <v>1</v>
      </c>
      <c r="H197">
        <v>2</v>
      </c>
      <c r="I197" t="s">
        <v>590</v>
      </c>
      <c r="J197" t="s">
        <v>591</v>
      </c>
      <c r="K197" t="s">
        <v>592</v>
      </c>
      <c r="L197">
        <v>45811227</v>
      </c>
      <c r="N197">
        <v>1013</v>
      </c>
      <c r="O197" t="s">
        <v>452</v>
      </c>
      <c r="P197" t="s">
        <v>452</v>
      </c>
      <c r="Q197">
        <v>1</v>
      </c>
      <c r="W197">
        <v>0</v>
      </c>
      <c r="X197">
        <v>2064179487</v>
      </c>
      <c r="Y197">
        <v>7.2874999999999996</v>
      </c>
      <c r="AA197">
        <v>0</v>
      </c>
      <c r="AB197">
        <v>1.9</v>
      </c>
      <c r="AC197">
        <v>0</v>
      </c>
      <c r="AD197">
        <v>0</v>
      </c>
      <c r="AE197">
        <v>0</v>
      </c>
      <c r="AF197">
        <v>1.9</v>
      </c>
      <c r="AG197">
        <v>0</v>
      </c>
      <c r="AH197">
        <v>0</v>
      </c>
      <c r="AI197">
        <v>1</v>
      </c>
      <c r="AJ197">
        <v>1</v>
      </c>
      <c r="AK197">
        <v>1</v>
      </c>
      <c r="AL197">
        <v>1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5.83</v>
      </c>
      <c r="AU197" t="s">
        <v>61</v>
      </c>
      <c r="AV197">
        <v>0</v>
      </c>
      <c r="AW197">
        <v>2</v>
      </c>
      <c r="AX197">
        <v>50212063</v>
      </c>
      <c r="AY197">
        <v>1</v>
      </c>
      <c r="AZ197">
        <v>0</v>
      </c>
      <c r="BA197">
        <v>193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Y197*Source!I415</f>
        <v>0.1749</v>
      </c>
      <c r="CY197">
        <f t="shared" si="31"/>
        <v>1.9</v>
      </c>
      <c r="CZ197">
        <f t="shared" si="32"/>
        <v>1.9</v>
      </c>
      <c r="DA197">
        <f t="shared" si="33"/>
        <v>1</v>
      </c>
      <c r="DB197">
        <f t="shared" si="29"/>
        <v>13.9</v>
      </c>
      <c r="DC197">
        <f t="shared" si="30"/>
        <v>0</v>
      </c>
    </row>
    <row r="198" spans="1:107" x14ac:dyDescent="0.2">
      <c r="A198">
        <f>ROW(Source!A415)</f>
        <v>415</v>
      </c>
      <c r="B198">
        <v>50210945</v>
      </c>
      <c r="C198">
        <v>50212042</v>
      </c>
      <c r="D198">
        <v>45813051</v>
      </c>
      <c r="E198">
        <v>1</v>
      </c>
      <c r="F198">
        <v>1</v>
      </c>
      <c r="G198">
        <v>1</v>
      </c>
      <c r="H198">
        <v>2</v>
      </c>
      <c r="I198" t="s">
        <v>593</v>
      </c>
      <c r="J198" t="s">
        <v>594</v>
      </c>
      <c r="K198" t="s">
        <v>595</v>
      </c>
      <c r="L198">
        <v>45811227</v>
      </c>
      <c r="N198">
        <v>1013</v>
      </c>
      <c r="O198" t="s">
        <v>452</v>
      </c>
      <c r="P198" t="s">
        <v>452</v>
      </c>
      <c r="Q198">
        <v>1</v>
      </c>
      <c r="W198">
        <v>0</v>
      </c>
      <c r="X198">
        <v>-2128086329</v>
      </c>
      <c r="Y198">
        <v>0.125</v>
      </c>
      <c r="AA198">
        <v>0</v>
      </c>
      <c r="AB198">
        <v>3.27</v>
      </c>
      <c r="AC198">
        <v>0</v>
      </c>
      <c r="AD198">
        <v>0</v>
      </c>
      <c r="AE198">
        <v>0</v>
      </c>
      <c r="AF198">
        <v>3.27</v>
      </c>
      <c r="AG198">
        <v>0</v>
      </c>
      <c r="AH198">
        <v>0</v>
      </c>
      <c r="AI198">
        <v>1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0.1</v>
      </c>
      <c r="AU198" t="s">
        <v>61</v>
      </c>
      <c r="AV198">
        <v>0</v>
      </c>
      <c r="AW198">
        <v>2</v>
      </c>
      <c r="AX198">
        <v>50212064</v>
      </c>
      <c r="AY198">
        <v>1</v>
      </c>
      <c r="AZ198">
        <v>0</v>
      </c>
      <c r="BA198">
        <v>194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Y198*Source!I415</f>
        <v>3.0000000000000001E-3</v>
      </c>
      <c r="CY198">
        <f t="shared" si="31"/>
        <v>3.27</v>
      </c>
      <c r="CZ198">
        <f t="shared" si="32"/>
        <v>3.27</v>
      </c>
      <c r="DA198">
        <f t="shared" si="33"/>
        <v>1</v>
      </c>
      <c r="DB198">
        <f t="shared" si="29"/>
        <v>0.4</v>
      </c>
      <c r="DC198">
        <f t="shared" si="30"/>
        <v>0</v>
      </c>
    </row>
    <row r="199" spans="1:107" x14ac:dyDescent="0.2">
      <c r="A199">
        <f>ROW(Source!A415)</f>
        <v>415</v>
      </c>
      <c r="B199">
        <v>50210945</v>
      </c>
      <c r="C199">
        <v>50212042</v>
      </c>
      <c r="D199">
        <v>45813321</v>
      </c>
      <c r="E199">
        <v>1</v>
      </c>
      <c r="F199">
        <v>1</v>
      </c>
      <c r="G199">
        <v>1</v>
      </c>
      <c r="H199">
        <v>2</v>
      </c>
      <c r="I199" t="s">
        <v>532</v>
      </c>
      <c r="J199" t="s">
        <v>533</v>
      </c>
      <c r="K199" t="s">
        <v>534</v>
      </c>
      <c r="L199">
        <v>45811227</v>
      </c>
      <c r="N199">
        <v>1013</v>
      </c>
      <c r="O199" t="s">
        <v>452</v>
      </c>
      <c r="P199" t="s">
        <v>452</v>
      </c>
      <c r="Q199">
        <v>1</v>
      </c>
      <c r="W199">
        <v>0</v>
      </c>
      <c r="X199">
        <v>771999048</v>
      </c>
      <c r="Y199">
        <v>0.88749999999999996</v>
      </c>
      <c r="AA199">
        <v>0</v>
      </c>
      <c r="AB199">
        <v>86.55</v>
      </c>
      <c r="AC199">
        <v>0</v>
      </c>
      <c r="AD199">
        <v>0</v>
      </c>
      <c r="AE199">
        <v>0</v>
      </c>
      <c r="AF199">
        <v>86.55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0.71</v>
      </c>
      <c r="AU199" t="s">
        <v>61</v>
      </c>
      <c r="AV199">
        <v>0</v>
      </c>
      <c r="AW199">
        <v>2</v>
      </c>
      <c r="AX199">
        <v>50212065</v>
      </c>
      <c r="AY199">
        <v>1</v>
      </c>
      <c r="AZ199">
        <v>0</v>
      </c>
      <c r="BA199">
        <v>195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X199">
        <f>Y199*Source!I415</f>
        <v>2.1299999999999999E-2</v>
      </c>
      <c r="CY199">
        <f t="shared" si="31"/>
        <v>86.55</v>
      </c>
      <c r="CZ199">
        <f t="shared" si="32"/>
        <v>86.55</v>
      </c>
      <c r="DA199">
        <f t="shared" si="33"/>
        <v>1</v>
      </c>
      <c r="DB199">
        <f t="shared" si="29"/>
        <v>76.8</v>
      </c>
      <c r="DC199">
        <f t="shared" si="30"/>
        <v>0</v>
      </c>
    </row>
    <row r="200" spans="1:107" x14ac:dyDescent="0.2">
      <c r="A200">
        <f>ROW(Source!A415)</f>
        <v>415</v>
      </c>
      <c r="B200">
        <v>50210945</v>
      </c>
      <c r="C200">
        <v>50212042</v>
      </c>
      <c r="D200">
        <v>45816198</v>
      </c>
      <c r="E200">
        <v>1</v>
      </c>
      <c r="F200">
        <v>1</v>
      </c>
      <c r="G200">
        <v>1</v>
      </c>
      <c r="H200">
        <v>3</v>
      </c>
      <c r="I200" t="s">
        <v>579</v>
      </c>
      <c r="J200" t="s">
        <v>580</v>
      </c>
      <c r="K200" t="s">
        <v>581</v>
      </c>
      <c r="L200">
        <v>1327</v>
      </c>
      <c r="N200">
        <v>1005</v>
      </c>
      <c r="O200" t="s">
        <v>266</v>
      </c>
      <c r="P200" t="s">
        <v>266</v>
      </c>
      <c r="Q200">
        <v>1</v>
      </c>
      <c r="W200">
        <v>0</v>
      </c>
      <c r="X200">
        <v>844764035</v>
      </c>
      <c r="Y200">
        <v>30</v>
      </c>
      <c r="AA200">
        <v>9.1999999999999993</v>
      </c>
      <c r="AB200">
        <v>0</v>
      </c>
      <c r="AC200">
        <v>0</v>
      </c>
      <c r="AD200">
        <v>0</v>
      </c>
      <c r="AE200">
        <v>9.1999999999999993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N200">
        <v>0</v>
      </c>
      <c r="AO200">
        <v>1</v>
      </c>
      <c r="AP200">
        <v>0</v>
      </c>
      <c r="AQ200">
        <v>0</v>
      </c>
      <c r="AR200">
        <v>0</v>
      </c>
      <c r="AS200" t="s">
        <v>3</v>
      </c>
      <c r="AT200">
        <v>30</v>
      </c>
      <c r="AU200" t="s">
        <v>3</v>
      </c>
      <c r="AV200">
        <v>0</v>
      </c>
      <c r="AW200">
        <v>2</v>
      </c>
      <c r="AX200">
        <v>50212066</v>
      </c>
      <c r="AY200">
        <v>1</v>
      </c>
      <c r="AZ200">
        <v>0</v>
      </c>
      <c r="BA200">
        <v>196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X200">
        <f>Y200*Source!I415</f>
        <v>0.72</v>
      </c>
      <c r="CY200">
        <f t="shared" ref="CY200:CY206" si="34">AA200</f>
        <v>9.1999999999999993</v>
      </c>
      <c r="CZ200">
        <f t="shared" ref="CZ200:CZ206" si="35">AE200</f>
        <v>9.1999999999999993</v>
      </c>
      <c r="DA200">
        <f t="shared" ref="DA200:DA206" si="36">AI200</f>
        <v>1</v>
      </c>
      <c r="DB200">
        <f t="shared" ref="DB200:DB206" si="37">ROUND(ROUND(AT200*CZ200,2),1)</f>
        <v>276</v>
      </c>
      <c r="DC200">
        <f t="shared" ref="DC200:DC206" si="38">ROUND(ROUND(AT200*AG200,2),1)</f>
        <v>0</v>
      </c>
    </row>
    <row r="201" spans="1:107" x14ac:dyDescent="0.2">
      <c r="A201">
        <f>ROW(Source!A415)</f>
        <v>415</v>
      </c>
      <c r="B201">
        <v>50210945</v>
      </c>
      <c r="C201">
        <v>50212042</v>
      </c>
      <c r="D201">
        <v>45816422</v>
      </c>
      <c r="E201">
        <v>1</v>
      </c>
      <c r="F201">
        <v>1</v>
      </c>
      <c r="G201">
        <v>1</v>
      </c>
      <c r="H201">
        <v>3</v>
      </c>
      <c r="I201" t="s">
        <v>550</v>
      </c>
      <c r="J201" t="s">
        <v>551</v>
      </c>
      <c r="K201" t="s">
        <v>552</v>
      </c>
      <c r="L201">
        <v>1348</v>
      </c>
      <c r="N201">
        <v>1009</v>
      </c>
      <c r="O201" t="s">
        <v>190</v>
      </c>
      <c r="P201" t="s">
        <v>190</v>
      </c>
      <c r="Q201">
        <v>1000</v>
      </c>
      <c r="W201">
        <v>0</v>
      </c>
      <c r="X201">
        <v>-1791058657</v>
      </c>
      <c r="Y201">
        <v>2E-3</v>
      </c>
      <c r="AA201">
        <v>10992.4</v>
      </c>
      <c r="AB201">
        <v>0</v>
      </c>
      <c r="AC201">
        <v>0</v>
      </c>
      <c r="AD201">
        <v>0</v>
      </c>
      <c r="AE201">
        <v>10992.4</v>
      </c>
      <c r="AF201">
        <v>0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N201">
        <v>0</v>
      </c>
      <c r="AO201">
        <v>1</v>
      </c>
      <c r="AP201">
        <v>0</v>
      </c>
      <c r="AQ201">
        <v>0</v>
      </c>
      <c r="AR201">
        <v>0</v>
      </c>
      <c r="AS201" t="s">
        <v>3</v>
      </c>
      <c r="AT201">
        <v>2E-3</v>
      </c>
      <c r="AU201" t="s">
        <v>3</v>
      </c>
      <c r="AV201">
        <v>0</v>
      </c>
      <c r="AW201">
        <v>2</v>
      </c>
      <c r="AX201">
        <v>50212067</v>
      </c>
      <c r="AY201">
        <v>1</v>
      </c>
      <c r="AZ201">
        <v>0</v>
      </c>
      <c r="BA201">
        <v>197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X201">
        <f>Y201*Source!I415</f>
        <v>4.8000000000000001E-5</v>
      </c>
      <c r="CY201">
        <f t="shared" si="34"/>
        <v>10992.4</v>
      </c>
      <c r="CZ201">
        <f t="shared" si="35"/>
        <v>10992.4</v>
      </c>
      <c r="DA201">
        <f t="shared" si="36"/>
        <v>1</v>
      </c>
      <c r="DB201">
        <f t="shared" si="37"/>
        <v>22</v>
      </c>
      <c r="DC201">
        <f t="shared" si="38"/>
        <v>0</v>
      </c>
    </row>
    <row r="202" spans="1:107" x14ac:dyDescent="0.2">
      <c r="A202">
        <f>ROW(Source!A415)</f>
        <v>415</v>
      </c>
      <c r="B202">
        <v>50210945</v>
      </c>
      <c r="C202">
        <v>50212042</v>
      </c>
      <c r="D202">
        <v>45823134</v>
      </c>
      <c r="E202">
        <v>1</v>
      </c>
      <c r="F202">
        <v>1</v>
      </c>
      <c r="G202">
        <v>1</v>
      </c>
      <c r="H202">
        <v>3</v>
      </c>
      <c r="I202" t="s">
        <v>596</v>
      </c>
      <c r="J202" t="s">
        <v>597</v>
      </c>
      <c r="K202" t="s">
        <v>598</v>
      </c>
      <c r="L202">
        <v>1339</v>
      </c>
      <c r="N202">
        <v>1007</v>
      </c>
      <c r="O202" t="s">
        <v>153</v>
      </c>
      <c r="P202" t="s">
        <v>153</v>
      </c>
      <c r="Q202">
        <v>1</v>
      </c>
      <c r="W202">
        <v>0</v>
      </c>
      <c r="X202">
        <v>1286759767</v>
      </c>
      <c r="Y202">
        <v>0.04</v>
      </c>
      <c r="AA202">
        <v>959.12</v>
      </c>
      <c r="AB202">
        <v>0</v>
      </c>
      <c r="AC202">
        <v>0</v>
      </c>
      <c r="AD202">
        <v>0</v>
      </c>
      <c r="AE202">
        <v>959.12</v>
      </c>
      <c r="AF202">
        <v>0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N202">
        <v>0</v>
      </c>
      <c r="AO202">
        <v>1</v>
      </c>
      <c r="AP202">
        <v>0</v>
      </c>
      <c r="AQ202">
        <v>0</v>
      </c>
      <c r="AR202">
        <v>0</v>
      </c>
      <c r="AS202" t="s">
        <v>3</v>
      </c>
      <c r="AT202">
        <v>0.04</v>
      </c>
      <c r="AU202" t="s">
        <v>3</v>
      </c>
      <c r="AV202">
        <v>0</v>
      </c>
      <c r="AW202">
        <v>2</v>
      </c>
      <c r="AX202">
        <v>50212068</v>
      </c>
      <c r="AY202">
        <v>1</v>
      </c>
      <c r="AZ202">
        <v>0</v>
      </c>
      <c r="BA202">
        <v>198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X202">
        <f>Y202*Source!I415</f>
        <v>9.6000000000000002E-4</v>
      </c>
      <c r="CY202">
        <f t="shared" si="34"/>
        <v>959.12</v>
      </c>
      <c r="CZ202">
        <f t="shared" si="35"/>
        <v>959.12</v>
      </c>
      <c r="DA202">
        <f t="shared" si="36"/>
        <v>1</v>
      </c>
      <c r="DB202">
        <f t="shared" si="37"/>
        <v>38.4</v>
      </c>
      <c r="DC202">
        <f t="shared" si="38"/>
        <v>0</v>
      </c>
    </row>
    <row r="203" spans="1:107" x14ac:dyDescent="0.2">
      <c r="A203">
        <f>ROW(Source!A415)</f>
        <v>415</v>
      </c>
      <c r="B203">
        <v>50210945</v>
      </c>
      <c r="C203">
        <v>50212042</v>
      </c>
      <c r="D203">
        <v>45838644</v>
      </c>
      <c r="E203">
        <v>1</v>
      </c>
      <c r="F203">
        <v>1</v>
      </c>
      <c r="G203">
        <v>1</v>
      </c>
      <c r="H203">
        <v>3</v>
      </c>
      <c r="I203" t="s">
        <v>599</v>
      </c>
      <c r="J203" t="s">
        <v>600</v>
      </c>
      <c r="K203" t="s">
        <v>601</v>
      </c>
      <c r="L203">
        <v>1327</v>
      </c>
      <c r="N203">
        <v>1005</v>
      </c>
      <c r="O203" t="s">
        <v>266</v>
      </c>
      <c r="P203" t="s">
        <v>266</v>
      </c>
      <c r="Q203">
        <v>1</v>
      </c>
      <c r="W203">
        <v>0</v>
      </c>
      <c r="X203">
        <v>1252575531</v>
      </c>
      <c r="Y203">
        <v>3.6</v>
      </c>
      <c r="AA203">
        <v>54.22</v>
      </c>
      <c r="AB203">
        <v>0</v>
      </c>
      <c r="AC203">
        <v>0</v>
      </c>
      <c r="AD203">
        <v>0</v>
      </c>
      <c r="AE203">
        <v>54.22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N203">
        <v>0</v>
      </c>
      <c r="AO203">
        <v>1</v>
      </c>
      <c r="AP203">
        <v>0</v>
      </c>
      <c r="AQ203">
        <v>0</v>
      </c>
      <c r="AR203">
        <v>0</v>
      </c>
      <c r="AS203" t="s">
        <v>3</v>
      </c>
      <c r="AT203">
        <v>3.6</v>
      </c>
      <c r="AU203" t="s">
        <v>3</v>
      </c>
      <c r="AV203">
        <v>0</v>
      </c>
      <c r="AW203">
        <v>2</v>
      </c>
      <c r="AX203">
        <v>50212069</v>
      </c>
      <c r="AY203">
        <v>1</v>
      </c>
      <c r="AZ203">
        <v>0</v>
      </c>
      <c r="BA203">
        <v>199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X203">
        <f>Y203*Source!I415</f>
        <v>8.6400000000000005E-2</v>
      </c>
      <c r="CY203">
        <f t="shared" si="34"/>
        <v>54.22</v>
      </c>
      <c r="CZ203">
        <f t="shared" si="35"/>
        <v>54.22</v>
      </c>
      <c r="DA203">
        <f t="shared" si="36"/>
        <v>1</v>
      </c>
      <c r="DB203">
        <f t="shared" si="37"/>
        <v>195.2</v>
      </c>
      <c r="DC203">
        <f t="shared" si="38"/>
        <v>0</v>
      </c>
    </row>
    <row r="204" spans="1:107" x14ac:dyDescent="0.2">
      <c r="A204">
        <f>ROW(Source!A415)</f>
        <v>415</v>
      </c>
      <c r="B204">
        <v>50210945</v>
      </c>
      <c r="C204">
        <v>50212042</v>
      </c>
      <c r="D204">
        <v>45853239</v>
      </c>
      <c r="E204">
        <v>1</v>
      </c>
      <c r="F204">
        <v>1</v>
      </c>
      <c r="G204">
        <v>1</v>
      </c>
      <c r="H204">
        <v>3</v>
      </c>
      <c r="I204" t="s">
        <v>602</v>
      </c>
      <c r="J204" t="s">
        <v>603</v>
      </c>
      <c r="K204" t="s">
        <v>604</v>
      </c>
      <c r="L204">
        <v>1339</v>
      </c>
      <c r="N204">
        <v>1007</v>
      </c>
      <c r="O204" t="s">
        <v>153</v>
      </c>
      <c r="P204" t="s">
        <v>153</v>
      </c>
      <c r="Q204">
        <v>1</v>
      </c>
      <c r="W204">
        <v>0</v>
      </c>
      <c r="X204">
        <v>-989605547</v>
      </c>
      <c r="Y204">
        <v>102</v>
      </c>
      <c r="AA204">
        <v>521.88</v>
      </c>
      <c r="AB204">
        <v>0</v>
      </c>
      <c r="AC204">
        <v>0</v>
      </c>
      <c r="AD204">
        <v>0</v>
      </c>
      <c r="AE204">
        <v>521.88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N204">
        <v>0</v>
      </c>
      <c r="AO204">
        <v>1</v>
      </c>
      <c r="AP204">
        <v>0</v>
      </c>
      <c r="AQ204">
        <v>0</v>
      </c>
      <c r="AR204">
        <v>0</v>
      </c>
      <c r="AS204" t="s">
        <v>3</v>
      </c>
      <c r="AT204">
        <v>102</v>
      </c>
      <c r="AU204" t="s">
        <v>3</v>
      </c>
      <c r="AV204">
        <v>0</v>
      </c>
      <c r="AW204">
        <v>2</v>
      </c>
      <c r="AX204">
        <v>50212070</v>
      </c>
      <c r="AY204">
        <v>1</v>
      </c>
      <c r="AZ204">
        <v>0</v>
      </c>
      <c r="BA204">
        <v>200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X204">
        <f>Y204*Source!I415</f>
        <v>2.448</v>
      </c>
      <c r="CY204">
        <f t="shared" si="34"/>
        <v>521.88</v>
      </c>
      <c r="CZ204">
        <f t="shared" si="35"/>
        <v>521.88</v>
      </c>
      <c r="DA204">
        <f t="shared" si="36"/>
        <v>1</v>
      </c>
      <c r="DB204">
        <f t="shared" si="37"/>
        <v>53231.8</v>
      </c>
      <c r="DC204">
        <f t="shared" si="38"/>
        <v>0</v>
      </c>
    </row>
    <row r="205" spans="1:107" x14ac:dyDescent="0.2">
      <c r="A205">
        <f>ROW(Source!A415)</f>
        <v>415</v>
      </c>
      <c r="B205">
        <v>50210945</v>
      </c>
      <c r="C205">
        <v>50212042</v>
      </c>
      <c r="D205">
        <v>45864629</v>
      </c>
      <c r="E205">
        <v>1</v>
      </c>
      <c r="F205">
        <v>1</v>
      </c>
      <c r="G205">
        <v>1</v>
      </c>
      <c r="H205">
        <v>3</v>
      </c>
      <c r="I205" t="s">
        <v>605</v>
      </c>
      <c r="J205" t="s">
        <v>606</v>
      </c>
      <c r="K205" t="s">
        <v>607</v>
      </c>
      <c r="L205">
        <v>1348</v>
      </c>
      <c r="N205">
        <v>1009</v>
      </c>
      <c r="O205" t="s">
        <v>190</v>
      </c>
      <c r="P205" t="s">
        <v>190</v>
      </c>
      <c r="Q205">
        <v>1000</v>
      </c>
      <c r="W205">
        <v>0</v>
      </c>
      <c r="X205">
        <v>-213032344</v>
      </c>
      <c r="Y205">
        <v>0.01</v>
      </c>
      <c r="AA205">
        <v>680.16</v>
      </c>
      <c r="AB205">
        <v>0</v>
      </c>
      <c r="AC205">
        <v>0</v>
      </c>
      <c r="AD205">
        <v>0</v>
      </c>
      <c r="AE205">
        <v>680.16</v>
      </c>
      <c r="AF205">
        <v>0</v>
      </c>
      <c r="AG205">
        <v>0</v>
      </c>
      <c r="AH205">
        <v>0</v>
      </c>
      <c r="AI205">
        <v>1</v>
      </c>
      <c r="AJ205">
        <v>1</v>
      </c>
      <c r="AK205">
        <v>1</v>
      </c>
      <c r="AL205">
        <v>1</v>
      </c>
      <c r="AN205">
        <v>0</v>
      </c>
      <c r="AO205">
        <v>1</v>
      </c>
      <c r="AP205">
        <v>0</v>
      </c>
      <c r="AQ205">
        <v>0</v>
      </c>
      <c r="AR205">
        <v>0</v>
      </c>
      <c r="AS205" t="s">
        <v>3</v>
      </c>
      <c r="AT205">
        <v>0.01</v>
      </c>
      <c r="AU205" t="s">
        <v>3</v>
      </c>
      <c r="AV205">
        <v>0</v>
      </c>
      <c r="AW205">
        <v>2</v>
      </c>
      <c r="AX205">
        <v>50212071</v>
      </c>
      <c r="AY205">
        <v>1</v>
      </c>
      <c r="AZ205">
        <v>0</v>
      </c>
      <c r="BA205">
        <v>201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X205">
        <f>Y205*Source!I415</f>
        <v>2.4000000000000001E-4</v>
      </c>
      <c r="CY205">
        <f t="shared" si="34"/>
        <v>680.16</v>
      </c>
      <c r="CZ205">
        <f t="shared" si="35"/>
        <v>680.16</v>
      </c>
      <c r="DA205">
        <f t="shared" si="36"/>
        <v>1</v>
      </c>
      <c r="DB205">
        <f t="shared" si="37"/>
        <v>6.8</v>
      </c>
      <c r="DC205">
        <f t="shared" si="38"/>
        <v>0</v>
      </c>
    </row>
    <row r="206" spans="1:107" x14ac:dyDescent="0.2">
      <c r="A206">
        <f>ROW(Source!A415)</f>
        <v>415</v>
      </c>
      <c r="B206">
        <v>50210945</v>
      </c>
      <c r="C206">
        <v>50212042</v>
      </c>
      <c r="D206">
        <v>45865353</v>
      </c>
      <c r="E206">
        <v>1</v>
      </c>
      <c r="F206">
        <v>1</v>
      </c>
      <c r="G206">
        <v>1</v>
      </c>
      <c r="H206">
        <v>3</v>
      </c>
      <c r="I206" t="s">
        <v>488</v>
      </c>
      <c r="J206" t="s">
        <v>489</v>
      </c>
      <c r="K206" t="s">
        <v>490</v>
      </c>
      <c r="L206">
        <v>1339</v>
      </c>
      <c r="N206">
        <v>1007</v>
      </c>
      <c r="O206" t="s">
        <v>153</v>
      </c>
      <c r="P206" t="s">
        <v>153</v>
      </c>
      <c r="Q206">
        <v>1</v>
      </c>
      <c r="W206">
        <v>0</v>
      </c>
      <c r="X206">
        <v>-1025641989</v>
      </c>
      <c r="Y206">
        <v>0.73</v>
      </c>
      <c r="AA206">
        <v>2.2599999999999998</v>
      </c>
      <c r="AB206">
        <v>0</v>
      </c>
      <c r="AC206">
        <v>0</v>
      </c>
      <c r="AD206">
        <v>0</v>
      </c>
      <c r="AE206">
        <v>2.2599999999999998</v>
      </c>
      <c r="AF206">
        <v>0</v>
      </c>
      <c r="AG206">
        <v>0</v>
      </c>
      <c r="AH206">
        <v>0</v>
      </c>
      <c r="AI206">
        <v>1</v>
      </c>
      <c r="AJ206">
        <v>1</v>
      </c>
      <c r="AK206">
        <v>1</v>
      </c>
      <c r="AL206">
        <v>1</v>
      </c>
      <c r="AN206">
        <v>0</v>
      </c>
      <c r="AO206">
        <v>1</v>
      </c>
      <c r="AP206">
        <v>0</v>
      </c>
      <c r="AQ206">
        <v>0</v>
      </c>
      <c r="AR206">
        <v>0</v>
      </c>
      <c r="AS206" t="s">
        <v>3</v>
      </c>
      <c r="AT206">
        <v>0.73</v>
      </c>
      <c r="AU206" t="s">
        <v>3</v>
      </c>
      <c r="AV206">
        <v>0</v>
      </c>
      <c r="AW206">
        <v>2</v>
      </c>
      <c r="AX206">
        <v>50212072</v>
      </c>
      <c r="AY206">
        <v>1</v>
      </c>
      <c r="AZ206">
        <v>0</v>
      </c>
      <c r="BA206">
        <v>202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X206">
        <f>Y206*Source!I415</f>
        <v>1.7520000000000001E-2</v>
      </c>
      <c r="CY206">
        <f t="shared" si="34"/>
        <v>2.2599999999999998</v>
      </c>
      <c r="CZ206">
        <f t="shared" si="35"/>
        <v>2.2599999999999998</v>
      </c>
      <c r="DA206">
        <f t="shared" si="36"/>
        <v>1</v>
      </c>
      <c r="DB206">
        <f t="shared" si="37"/>
        <v>1.7</v>
      </c>
      <c r="DC206">
        <f t="shared" si="38"/>
        <v>0</v>
      </c>
    </row>
    <row r="207" spans="1:107" x14ac:dyDescent="0.2">
      <c r="A207">
        <f>ROW(Source!A416)</f>
        <v>416</v>
      </c>
      <c r="B207">
        <v>50210945</v>
      </c>
      <c r="C207">
        <v>50212073</v>
      </c>
      <c r="D207">
        <v>45975157</v>
      </c>
      <c r="E207">
        <v>1</v>
      </c>
      <c r="F207">
        <v>1</v>
      </c>
      <c r="G207">
        <v>1</v>
      </c>
      <c r="H207">
        <v>1</v>
      </c>
      <c r="I207" t="s">
        <v>608</v>
      </c>
      <c r="J207" t="s">
        <v>3</v>
      </c>
      <c r="K207" t="s">
        <v>609</v>
      </c>
      <c r="L207">
        <v>1476</v>
      </c>
      <c r="N207">
        <v>1013</v>
      </c>
      <c r="O207" t="s">
        <v>447</v>
      </c>
      <c r="P207" t="s">
        <v>448</v>
      </c>
      <c r="Q207">
        <v>1</v>
      </c>
      <c r="W207">
        <v>0</v>
      </c>
      <c r="X207">
        <v>842368670</v>
      </c>
      <c r="Y207">
        <v>14.536</v>
      </c>
      <c r="AA207">
        <v>0</v>
      </c>
      <c r="AB207">
        <v>0</v>
      </c>
      <c r="AC207">
        <v>0</v>
      </c>
      <c r="AD207">
        <v>7.21</v>
      </c>
      <c r="AE207">
        <v>0</v>
      </c>
      <c r="AF207">
        <v>0</v>
      </c>
      <c r="AG207">
        <v>0</v>
      </c>
      <c r="AH207">
        <v>7.21</v>
      </c>
      <c r="AI207">
        <v>1</v>
      </c>
      <c r="AJ207">
        <v>1</v>
      </c>
      <c r="AK207">
        <v>1</v>
      </c>
      <c r="AL207">
        <v>1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12.64</v>
      </c>
      <c r="AU207" t="s">
        <v>12</v>
      </c>
      <c r="AV207">
        <v>1</v>
      </c>
      <c r="AW207">
        <v>2</v>
      </c>
      <c r="AX207">
        <v>50212080</v>
      </c>
      <c r="AY207">
        <v>1</v>
      </c>
      <c r="AZ207">
        <v>0</v>
      </c>
      <c r="BA207">
        <v>203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X207">
        <f>Y207*Source!I416</f>
        <v>0.58143999999999996</v>
      </c>
      <c r="CY207">
        <f>AD207</f>
        <v>7.21</v>
      </c>
      <c r="CZ207">
        <f>AH207</f>
        <v>7.21</v>
      </c>
      <c r="DA207">
        <f>AL207</f>
        <v>1</v>
      </c>
      <c r="DB207">
        <f>ROUND((ROUND(AT207*CZ207,2)*1.15),1)</f>
        <v>104.8</v>
      </c>
      <c r="DC207">
        <f>ROUND((ROUND(AT207*AG207,2)*1.15),1)</f>
        <v>0</v>
      </c>
    </row>
    <row r="208" spans="1:107" x14ac:dyDescent="0.2">
      <c r="A208">
        <f>ROW(Source!A416)</f>
        <v>416</v>
      </c>
      <c r="B208">
        <v>50210945</v>
      </c>
      <c r="C208">
        <v>50212073</v>
      </c>
      <c r="D208">
        <v>121548</v>
      </c>
      <c r="E208">
        <v>1</v>
      </c>
      <c r="F208">
        <v>1</v>
      </c>
      <c r="G208">
        <v>1</v>
      </c>
      <c r="H208">
        <v>1</v>
      </c>
      <c r="I208" t="s">
        <v>25</v>
      </c>
      <c r="J208" t="s">
        <v>3</v>
      </c>
      <c r="K208" t="s">
        <v>463</v>
      </c>
      <c r="L208">
        <v>608254</v>
      </c>
      <c r="N208">
        <v>1013</v>
      </c>
      <c r="O208" t="s">
        <v>464</v>
      </c>
      <c r="P208" t="s">
        <v>464</v>
      </c>
      <c r="Q208">
        <v>1</v>
      </c>
      <c r="W208">
        <v>0</v>
      </c>
      <c r="X208">
        <v>-185737400</v>
      </c>
      <c r="Y208">
        <v>0.2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1</v>
      </c>
      <c r="AJ208">
        <v>1</v>
      </c>
      <c r="AK208">
        <v>1</v>
      </c>
      <c r="AL208">
        <v>1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0.16</v>
      </c>
      <c r="AU208" t="s">
        <v>11</v>
      </c>
      <c r="AV208">
        <v>2</v>
      </c>
      <c r="AW208">
        <v>2</v>
      </c>
      <c r="AX208">
        <v>50212081</v>
      </c>
      <c r="AY208">
        <v>1</v>
      </c>
      <c r="AZ208">
        <v>0</v>
      </c>
      <c r="BA208">
        <v>204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X208">
        <f>Y208*Source!I416</f>
        <v>8.0000000000000002E-3</v>
      </c>
      <c r="CY208">
        <f>AD208</f>
        <v>0</v>
      </c>
      <c r="CZ208">
        <f>AH208</f>
        <v>0</v>
      </c>
      <c r="DA208">
        <f>AL208</f>
        <v>1</v>
      </c>
      <c r="DB208">
        <f>ROUND((ROUND(AT208*CZ208,2)*1.25),1)</f>
        <v>0</v>
      </c>
      <c r="DC208">
        <f>ROUND((ROUND(AT208*AG208,2)*1.25),1)</f>
        <v>0</v>
      </c>
    </row>
    <row r="209" spans="1:107" x14ac:dyDescent="0.2">
      <c r="A209">
        <f>ROW(Source!A416)</f>
        <v>416</v>
      </c>
      <c r="B209">
        <v>50210945</v>
      </c>
      <c r="C209">
        <v>50212073</v>
      </c>
      <c r="D209">
        <v>45811353</v>
      </c>
      <c r="E209">
        <v>1</v>
      </c>
      <c r="F209">
        <v>1</v>
      </c>
      <c r="G209">
        <v>1</v>
      </c>
      <c r="H209">
        <v>2</v>
      </c>
      <c r="I209" t="s">
        <v>517</v>
      </c>
      <c r="J209" t="s">
        <v>518</v>
      </c>
      <c r="K209" t="s">
        <v>519</v>
      </c>
      <c r="L209">
        <v>45811227</v>
      </c>
      <c r="N209">
        <v>1013</v>
      </c>
      <c r="O209" t="s">
        <v>452</v>
      </c>
      <c r="P209" t="s">
        <v>452</v>
      </c>
      <c r="Q209">
        <v>1</v>
      </c>
      <c r="W209">
        <v>0</v>
      </c>
      <c r="X209">
        <v>642700064</v>
      </c>
      <c r="Y209">
        <v>0.2</v>
      </c>
      <c r="AA209">
        <v>0</v>
      </c>
      <c r="AB209">
        <v>111.75</v>
      </c>
      <c r="AC209">
        <v>13.26</v>
      </c>
      <c r="AD209">
        <v>0</v>
      </c>
      <c r="AE209">
        <v>0</v>
      </c>
      <c r="AF209">
        <v>111.75</v>
      </c>
      <c r="AG209">
        <v>13.26</v>
      </c>
      <c r="AH209">
        <v>0</v>
      </c>
      <c r="AI209">
        <v>1</v>
      </c>
      <c r="AJ209">
        <v>1</v>
      </c>
      <c r="AK209">
        <v>1</v>
      </c>
      <c r="AL209">
        <v>1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0.16</v>
      </c>
      <c r="AU209" t="s">
        <v>11</v>
      </c>
      <c r="AV209">
        <v>0</v>
      </c>
      <c r="AW209">
        <v>2</v>
      </c>
      <c r="AX209">
        <v>50212082</v>
      </c>
      <c r="AY209">
        <v>1</v>
      </c>
      <c r="AZ209">
        <v>0</v>
      </c>
      <c r="BA209">
        <v>205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X209">
        <f>Y209*Source!I416</f>
        <v>8.0000000000000002E-3</v>
      </c>
      <c r="CY209">
        <f>AB209</f>
        <v>111.75</v>
      </c>
      <c r="CZ209">
        <f>AF209</f>
        <v>111.75</v>
      </c>
      <c r="DA209">
        <f>AJ209</f>
        <v>1</v>
      </c>
      <c r="DB209">
        <f>ROUND((ROUND(AT209*CZ209,2)*1.25),1)</f>
        <v>22.4</v>
      </c>
      <c r="DC209">
        <f>ROUND((ROUND(AT209*AG209,2)*1.25),1)</f>
        <v>2.7</v>
      </c>
    </row>
    <row r="210" spans="1:107" x14ac:dyDescent="0.2">
      <c r="A210">
        <f>ROW(Source!A416)</f>
        <v>416</v>
      </c>
      <c r="B210">
        <v>50210945</v>
      </c>
      <c r="C210">
        <v>50212073</v>
      </c>
      <c r="D210">
        <v>45813321</v>
      </c>
      <c r="E210">
        <v>1</v>
      </c>
      <c r="F210">
        <v>1</v>
      </c>
      <c r="G210">
        <v>1</v>
      </c>
      <c r="H210">
        <v>2</v>
      </c>
      <c r="I210" t="s">
        <v>532</v>
      </c>
      <c r="J210" t="s">
        <v>533</v>
      </c>
      <c r="K210" t="s">
        <v>534</v>
      </c>
      <c r="L210">
        <v>45811227</v>
      </c>
      <c r="N210">
        <v>1013</v>
      </c>
      <c r="O210" t="s">
        <v>452</v>
      </c>
      <c r="P210" t="s">
        <v>452</v>
      </c>
      <c r="Q210">
        <v>1</v>
      </c>
      <c r="W210">
        <v>0</v>
      </c>
      <c r="X210">
        <v>771999048</v>
      </c>
      <c r="Y210">
        <v>0.27500000000000002</v>
      </c>
      <c r="AA210">
        <v>0</v>
      </c>
      <c r="AB210">
        <v>86.55</v>
      </c>
      <c r="AC210">
        <v>0</v>
      </c>
      <c r="AD210">
        <v>0</v>
      </c>
      <c r="AE210">
        <v>0</v>
      </c>
      <c r="AF210">
        <v>86.55</v>
      </c>
      <c r="AG210">
        <v>0</v>
      </c>
      <c r="AH210">
        <v>0</v>
      </c>
      <c r="AI210">
        <v>1</v>
      </c>
      <c r="AJ210">
        <v>1</v>
      </c>
      <c r="AK210">
        <v>1</v>
      </c>
      <c r="AL210">
        <v>1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0.22</v>
      </c>
      <c r="AU210" t="s">
        <v>11</v>
      </c>
      <c r="AV210">
        <v>0</v>
      </c>
      <c r="AW210">
        <v>2</v>
      </c>
      <c r="AX210">
        <v>50212083</v>
      </c>
      <c r="AY210">
        <v>1</v>
      </c>
      <c r="AZ210">
        <v>0</v>
      </c>
      <c r="BA210">
        <v>206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X210">
        <f>Y210*Source!I416</f>
        <v>1.1000000000000001E-2</v>
      </c>
      <c r="CY210">
        <f>AB210</f>
        <v>86.55</v>
      </c>
      <c r="CZ210">
        <f>AF210</f>
        <v>86.55</v>
      </c>
      <c r="DA210">
        <f>AJ210</f>
        <v>1</v>
      </c>
      <c r="DB210">
        <f>ROUND((ROUND(AT210*CZ210,2)*1.25),1)</f>
        <v>23.8</v>
      </c>
      <c r="DC210">
        <f>ROUND((ROUND(AT210*AG210,2)*1.25),1)</f>
        <v>0</v>
      </c>
    </row>
    <row r="211" spans="1:107" x14ac:dyDescent="0.2">
      <c r="A211">
        <f>ROW(Source!A416)</f>
        <v>416</v>
      </c>
      <c r="B211">
        <v>50210945</v>
      </c>
      <c r="C211">
        <v>50212073</v>
      </c>
      <c r="D211">
        <v>45815236</v>
      </c>
      <c r="E211">
        <v>1</v>
      </c>
      <c r="F211">
        <v>1</v>
      </c>
      <c r="G211">
        <v>1</v>
      </c>
      <c r="H211">
        <v>3</v>
      </c>
      <c r="I211" t="s">
        <v>610</v>
      </c>
      <c r="J211" t="s">
        <v>611</v>
      </c>
      <c r="K211" t="s">
        <v>612</v>
      </c>
      <c r="L211">
        <v>1348</v>
      </c>
      <c r="N211">
        <v>1009</v>
      </c>
      <c r="O211" t="s">
        <v>190</v>
      </c>
      <c r="P211" t="s">
        <v>190</v>
      </c>
      <c r="Q211">
        <v>1000</v>
      </c>
      <c r="W211">
        <v>0</v>
      </c>
      <c r="X211">
        <v>-439679864</v>
      </c>
      <c r="Y211">
        <v>2.8000000000000001E-2</v>
      </c>
      <c r="AA211">
        <v>9240.19</v>
      </c>
      <c r="AB211">
        <v>0</v>
      </c>
      <c r="AC211">
        <v>0</v>
      </c>
      <c r="AD211">
        <v>0</v>
      </c>
      <c r="AE211">
        <v>9240.19</v>
      </c>
      <c r="AF211">
        <v>0</v>
      </c>
      <c r="AG211">
        <v>0</v>
      </c>
      <c r="AH211">
        <v>0</v>
      </c>
      <c r="AI211">
        <v>1</v>
      </c>
      <c r="AJ211">
        <v>1</v>
      </c>
      <c r="AK211">
        <v>1</v>
      </c>
      <c r="AL211">
        <v>1</v>
      </c>
      <c r="AN211">
        <v>0</v>
      </c>
      <c r="AO211">
        <v>1</v>
      </c>
      <c r="AP211">
        <v>0</v>
      </c>
      <c r="AQ211">
        <v>0</v>
      </c>
      <c r="AR211">
        <v>0</v>
      </c>
      <c r="AS211" t="s">
        <v>3</v>
      </c>
      <c r="AT211">
        <v>2.8000000000000001E-2</v>
      </c>
      <c r="AU211" t="s">
        <v>3</v>
      </c>
      <c r="AV211">
        <v>0</v>
      </c>
      <c r="AW211">
        <v>2</v>
      </c>
      <c r="AX211">
        <v>50212084</v>
      </c>
      <c r="AY211">
        <v>1</v>
      </c>
      <c r="AZ211">
        <v>0</v>
      </c>
      <c r="BA211">
        <v>207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X211">
        <f>Y211*Source!I416</f>
        <v>1.1200000000000001E-3</v>
      </c>
      <c r="CY211">
        <f>AA211</f>
        <v>9240.19</v>
      </c>
      <c r="CZ211">
        <f>AE211</f>
        <v>9240.19</v>
      </c>
      <c r="DA211">
        <f>AI211</f>
        <v>1</v>
      </c>
      <c r="DB211">
        <f>ROUND(ROUND(AT211*CZ211,2),1)</f>
        <v>258.7</v>
      </c>
      <c r="DC211">
        <f>ROUND(ROUND(AT211*AG211,2),1)</f>
        <v>0</v>
      </c>
    </row>
    <row r="212" spans="1:107" x14ac:dyDescent="0.2">
      <c r="A212">
        <f>ROW(Source!A416)</f>
        <v>416</v>
      </c>
      <c r="B212">
        <v>50210945</v>
      </c>
      <c r="C212">
        <v>50212073</v>
      </c>
      <c r="D212">
        <v>45839610</v>
      </c>
      <c r="E212">
        <v>1</v>
      </c>
      <c r="F212">
        <v>1</v>
      </c>
      <c r="G212">
        <v>1</v>
      </c>
      <c r="H212">
        <v>3</v>
      </c>
      <c r="I212" t="s">
        <v>613</v>
      </c>
      <c r="J212" t="s">
        <v>614</v>
      </c>
      <c r="K212" t="s">
        <v>615</v>
      </c>
      <c r="L212">
        <v>1348</v>
      </c>
      <c r="N212">
        <v>1009</v>
      </c>
      <c r="O212" t="s">
        <v>190</v>
      </c>
      <c r="P212" t="s">
        <v>190</v>
      </c>
      <c r="Q212">
        <v>1000</v>
      </c>
      <c r="W212">
        <v>0</v>
      </c>
      <c r="X212">
        <v>1398416502</v>
      </c>
      <c r="Y212">
        <v>1</v>
      </c>
      <c r="AA212">
        <v>5272.44</v>
      </c>
      <c r="AB212">
        <v>0</v>
      </c>
      <c r="AC212">
        <v>0</v>
      </c>
      <c r="AD212">
        <v>0</v>
      </c>
      <c r="AE212">
        <v>5272.44</v>
      </c>
      <c r="AF212">
        <v>0</v>
      </c>
      <c r="AG212">
        <v>0</v>
      </c>
      <c r="AH212">
        <v>0</v>
      </c>
      <c r="AI212">
        <v>1</v>
      </c>
      <c r="AJ212">
        <v>1</v>
      </c>
      <c r="AK212">
        <v>1</v>
      </c>
      <c r="AL212">
        <v>1</v>
      </c>
      <c r="AN212">
        <v>0</v>
      </c>
      <c r="AO212">
        <v>1</v>
      </c>
      <c r="AP212">
        <v>0</v>
      </c>
      <c r="AQ212">
        <v>0</v>
      </c>
      <c r="AR212">
        <v>0</v>
      </c>
      <c r="AS212" t="s">
        <v>3</v>
      </c>
      <c r="AT212">
        <v>1</v>
      </c>
      <c r="AU212" t="s">
        <v>3</v>
      </c>
      <c r="AV212">
        <v>0</v>
      </c>
      <c r="AW212">
        <v>2</v>
      </c>
      <c r="AX212">
        <v>50212085</v>
      </c>
      <c r="AY212">
        <v>1</v>
      </c>
      <c r="AZ212">
        <v>0</v>
      </c>
      <c r="BA212">
        <v>208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X212">
        <f>Y212*Source!I416</f>
        <v>0.04</v>
      </c>
      <c r="CY212">
        <f>AA212</f>
        <v>5272.44</v>
      </c>
      <c r="CZ212">
        <f>AE212</f>
        <v>5272.44</v>
      </c>
      <c r="DA212">
        <f>AI212</f>
        <v>1</v>
      </c>
      <c r="DB212">
        <f>ROUND(ROUND(AT212*CZ212,2),1)</f>
        <v>5272.4</v>
      </c>
      <c r="DC212">
        <f>ROUND(ROUND(AT212*AG212,2),1)</f>
        <v>0</v>
      </c>
    </row>
    <row r="213" spans="1:107" x14ac:dyDescent="0.2">
      <c r="A213">
        <f>ROW(Source!A417)</f>
        <v>417</v>
      </c>
      <c r="B213">
        <v>50210945</v>
      </c>
      <c r="C213">
        <v>50212086</v>
      </c>
      <c r="D213">
        <v>45968655</v>
      </c>
      <c r="E213">
        <v>1</v>
      </c>
      <c r="F213">
        <v>1</v>
      </c>
      <c r="G213">
        <v>1</v>
      </c>
      <c r="H213">
        <v>1</v>
      </c>
      <c r="I213" t="s">
        <v>455</v>
      </c>
      <c r="J213" t="s">
        <v>3</v>
      </c>
      <c r="K213" t="s">
        <v>456</v>
      </c>
      <c r="L213">
        <v>1476</v>
      </c>
      <c r="N213">
        <v>1013</v>
      </c>
      <c r="O213" t="s">
        <v>447</v>
      </c>
      <c r="P213" t="s">
        <v>448</v>
      </c>
      <c r="Q213">
        <v>1</v>
      </c>
      <c r="W213">
        <v>0</v>
      </c>
      <c r="X213">
        <v>421273387</v>
      </c>
      <c r="Y213">
        <v>50.657499999999992</v>
      </c>
      <c r="AA213">
        <v>0</v>
      </c>
      <c r="AB213">
        <v>0</v>
      </c>
      <c r="AC213">
        <v>0</v>
      </c>
      <c r="AD213">
        <v>6.94</v>
      </c>
      <c r="AE213">
        <v>0</v>
      </c>
      <c r="AF213">
        <v>0</v>
      </c>
      <c r="AG213">
        <v>0</v>
      </c>
      <c r="AH213">
        <v>6.94</v>
      </c>
      <c r="AI213">
        <v>1</v>
      </c>
      <c r="AJ213">
        <v>1</v>
      </c>
      <c r="AK213">
        <v>1</v>
      </c>
      <c r="AL213">
        <v>1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44.05</v>
      </c>
      <c r="AU213" t="s">
        <v>12</v>
      </c>
      <c r="AV213">
        <v>1</v>
      </c>
      <c r="AW213">
        <v>2</v>
      </c>
      <c r="AX213">
        <v>50212095</v>
      </c>
      <c r="AY213">
        <v>1</v>
      </c>
      <c r="AZ213">
        <v>0</v>
      </c>
      <c r="BA213">
        <v>209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X213">
        <f>Y213*Source!I417</f>
        <v>8.1051999999999982</v>
      </c>
      <c r="CY213">
        <f>AD213</f>
        <v>6.94</v>
      </c>
      <c r="CZ213">
        <f>AH213</f>
        <v>6.94</v>
      </c>
      <c r="DA213">
        <f>AL213</f>
        <v>1</v>
      </c>
      <c r="DB213">
        <f>ROUND((ROUND(AT213*CZ213,2)*1.15),1)</f>
        <v>351.6</v>
      </c>
      <c r="DC213">
        <f>ROUND((ROUND(AT213*AG213,2)*1.15),1)</f>
        <v>0</v>
      </c>
    </row>
    <row r="214" spans="1:107" x14ac:dyDescent="0.2">
      <c r="A214">
        <f>ROW(Source!A417)</f>
        <v>417</v>
      </c>
      <c r="B214">
        <v>50210945</v>
      </c>
      <c r="C214">
        <v>50212086</v>
      </c>
      <c r="D214">
        <v>121548</v>
      </c>
      <c r="E214">
        <v>1</v>
      </c>
      <c r="F214">
        <v>1</v>
      </c>
      <c r="G214">
        <v>1</v>
      </c>
      <c r="H214">
        <v>1</v>
      </c>
      <c r="I214" t="s">
        <v>25</v>
      </c>
      <c r="J214" t="s">
        <v>3</v>
      </c>
      <c r="K214" t="s">
        <v>463</v>
      </c>
      <c r="L214">
        <v>608254</v>
      </c>
      <c r="N214">
        <v>1013</v>
      </c>
      <c r="O214" t="s">
        <v>464</v>
      </c>
      <c r="P214" t="s">
        <v>464</v>
      </c>
      <c r="Q214">
        <v>1</v>
      </c>
      <c r="W214">
        <v>0</v>
      </c>
      <c r="X214">
        <v>-185737400</v>
      </c>
      <c r="Y214">
        <v>35.25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1</v>
      </c>
      <c r="AJ214">
        <v>1</v>
      </c>
      <c r="AK214">
        <v>1</v>
      </c>
      <c r="AL214">
        <v>1</v>
      </c>
      <c r="AN214">
        <v>0</v>
      </c>
      <c r="AO214">
        <v>1</v>
      </c>
      <c r="AP214">
        <v>1</v>
      </c>
      <c r="AQ214">
        <v>0</v>
      </c>
      <c r="AR214">
        <v>0</v>
      </c>
      <c r="AS214" t="s">
        <v>3</v>
      </c>
      <c r="AT214">
        <v>28.2</v>
      </c>
      <c r="AU214" t="s">
        <v>11</v>
      </c>
      <c r="AV214">
        <v>2</v>
      </c>
      <c r="AW214">
        <v>2</v>
      </c>
      <c r="AX214">
        <v>50212096</v>
      </c>
      <c r="AY214">
        <v>1</v>
      </c>
      <c r="AZ214">
        <v>0</v>
      </c>
      <c r="BA214">
        <v>210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X214">
        <f>Y214*Source!I417</f>
        <v>5.64</v>
      </c>
      <c r="CY214">
        <f>AD214</f>
        <v>0</v>
      </c>
      <c r="CZ214">
        <f>AH214</f>
        <v>0</v>
      </c>
      <c r="DA214">
        <f>AL214</f>
        <v>1</v>
      </c>
      <c r="DB214">
        <f>ROUND((ROUND(AT214*CZ214,2)*1.25),1)</f>
        <v>0</v>
      </c>
      <c r="DC214">
        <f>ROUND((ROUND(AT214*AG214,2)*1.25),1)</f>
        <v>0</v>
      </c>
    </row>
    <row r="215" spans="1:107" x14ac:dyDescent="0.2">
      <c r="A215">
        <f>ROW(Source!A417)</f>
        <v>417</v>
      </c>
      <c r="B215">
        <v>50210945</v>
      </c>
      <c r="C215">
        <v>50212086</v>
      </c>
      <c r="D215">
        <v>45811539</v>
      </c>
      <c r="E215">
        <v>1</v>
      </c>
      <c r="F215">
        <v>1</v>
      </c>
      <c r="G215">
        <v>1</v>
      </c>
      <c r="H215">
        <v>2</v>
      </c>
      <c r="I215" t="s">
        <v>616</v>
      </c>
      <c r="J215" t="s">
        <v>617</v>
      </c>
      <c r="K215" t="s">
        <v>618</v>
      </c>
      <c r="L215">
        <v>45811227</v>
      </c>
      <c r="N215">
        <v>1013</v>
      </c>
      <c r="O215" t="s">
        <v>452</v>
      </c>
      <c r="P215" t="s">
        <v>452</v>
      </c>
      <c r="Q215">
        <v>1</v>
      </c>
      <c r="W215">
        <v>0</v>
      </c>
      <c r="X215">
        <v>-1433120937</v>
      </c>
      <c r="Y215">
        <v>35.25</v>
      </c>
      <c r="AA215">
        <v>0</v>
      </c>
      <c r="AB215">
        <v>22.07</v>
      </c>
      <c r="AC215">
        <v>11.38</v>
      </c>
      <c r="AD215">
        <v>0</v>
      </c>
      <c r="AE215">
        <v>0</v>
      </c>
      <c r="AF215">
        <v>22.07</v>
      </c>
      <c r="AG215">
        <v>11.38</v>
      </c>
      <c r="AH215">
        <v>0</v>
      </c>
      <c r="AI215">
        <v>1</v>
      </c>
      <c r="AJ215">
        <v>1</v>
      </c>
      <c r="AK215">
        <v>1</v>
      </c>
      <c r="AL215">
        <v>1</v>
      </c>
      <c r="AN215">
        <v>0</v>
      </c>
      <c r="AO215">
        <v>1</v>
      </c>
      <c r="AP215">
        <v>1</v>
      </c>
      <c r="AQ215">
        <v>0</v>
      </c>
      <c r="AR215">
        <v>0</v>
      </c>
      <c r="AS215" t="s">
        <v>3</v>
      </c>
      <c r="AT215">
        <v>28.2</v>
      </c>
      <c r="AU215" t="s">
        <v>11</v>
      </c>
      <c r="AV215">
        <v>0</v>
      </c>
      <c r="AW215">
        <v>2</v>
      </c>
      <c r="AX215">
        <v>50212097</v>
      </c>
      <c r="AY215">
        <v>1</v>
      </c>
      <c r="AZ215">
        <v>0</v>
      </c>
      <c r="BA215">
        <v>211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X215">
        <f>Y215*Source!I417</f>
        <v>5.64</v>
      </c>
      <c r="CY215">
        <f>AB215</f>
        <v>22.07</v>
      </c>
      <c r="CZ215">
        <f>AF215</f>
        <v>22.07</v>
      </c>
      <c r="DA215">
        <f>AJ215</f>
        <v>1</v>
      </c>
      <c r="DB215">
        <f>ROUND((ROUND(AT215*CZ215,2)*1.25),1)</f>
        <v>778</v>
      </c>
      <c r="DC215">
        <f>ROUND((ROUND(AT215*AG215,2)*1.25),1)</f>
        <v>401.2</v>
      </c>
    </row>
    <row r="216" spans="1:107" x14ac:dyDescent="0.2">
      <c r="A216">
        <f>ROW(Source!A417)</f>
        <v>417</v>
      </c>
      <c r="B216">
        <v>50210945</v>
      </c>
      <c r="C216">
        <v>50212086</v>
      </c>
      <c r="D216">
        <v>45813045</v>
      </c>
      <c r="E216">
        <v>1</v>
      </c>
      <c r="F216">
        <v>1</v>
      </c>
      <c r="G216">
        <v>1</v>
      </c>
      <c r="H216">
        <v>2</v>
      </c>
      <c r="I216" t="s">
        <v>619</v>
      </c>
      <c r="J216" t="s">
        <v>620</v>
      </c>
      <c r="K216" t="s">
        <v>621</v>
      </c>
      <c r="L216">
        <v>45811227</v>
      </c>
      <c r="N216">
        <v>1013</v>
      </c>
      <c r="O216" t="s">
        <v>452</v>
      </c>
      <c r="P216" t="s">
        <v>452</v>
      </c>
      <c r="Q216">
        <v>1</v>
      </c>
      <c r="W216">
        <v>0</v>
      </c>
      <c r="X216">
        <v>-408901444</v>
      </c>
      <c r="Y216">
        <v>19.787500000000001</v>
      </c>
      <c r="AA216">
        <v>0</v>
      </c>
      <c r="AB216">
        <v>26.26</v>
      </c>
      <c r="AC216">
        <v>0</v>
      </c>
      <c r="AD216">
        <v>0</v>
      </c>
      <c r="AE216">
        <v>0</v>
      </c>
      <c r="AF216">
        <v>26.26</v>
      </c>
      <c r="AG216">
        <v>0</v>
      </c>
      <c r="AH216">
        <v>0</v>
      </c>
      <c r="AI216">
        <v>1</v>
      </c>
      <c r="AJ216">
        <v>1</v>
      </c>
      <c r="AK216">
        <v>1</v>
      </c>
      <c r="AL216">
        <v>1</v>
      </c>
      <c r="AN216">
        <v>0</v>
      </c>
      <c r="AO216">
        <v>1</v>
      </c>
      <c r="AP216">
        <v>1</v>
      </c>
      <c r="AQ216">
        <v>0</v>
      </c>
      <c r="AR216">
        <v>0</v>
      </c>
      <c r="AS216" t="s">
        <v>3</v>
      </c>
      <c r="AT216">
        <v>15.83</v>
      </c>
      <c r="AU216" t="s">
        <v>11</v>
      </c>
      <c r="AV216">
        <v>0</v>
      </c>
      <c r="AW216">
        <v>2</v>
      </c>
      <c r="AX216">
        <v>50212098</v>
      </c>
      <c r="AY216">
        <v>1</v>
      </c>
      <c r="AZ216">
        <v>0</v>
      </c>
      <c r="BA216">
        <v>212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X216">
        <f>Y216*Source!I417</f>
        <v>3.1660000000000004</v>
      </c>
      <c r="CY216">
        <f>AB216</f>
        <v>26.26</v>
      </c>
      <c r="CZ216">
        <f>AF216</f>
        <v>26.26</v>
      </c>
      <c r="DA216">
        <f>AJ216</f>
        <v>1</v>
      </c>
      <c r="DB216">
        <f>ROUND((ROUND(AT216*CZ216,2)*1.25),1)</f>
        <v>519.6</v>
      </c>
      <c r="DC216">
        <f>ROUND((ROUND(AT216*AG216,2)*1.25),1)</f>
        <v>0</v>
      </c>
    </row>
    <row r="217" spans="1:107" x14ac:dyDescent="0.2">
      <c r="A217">
        <f>ROW(Source!A417)</f>
        <v>417</v>
      </c>
      <c r="B217">
        <v>50210945</v>
      </c>
      <c r="C217">
        <v>50212086</v>
      </c>
      <c r="D217">
        <v>45813122</v>
      </c>
      <c r="E217">
        <v>1</v>
      </c>
      <c r="F217">
        <v>1</v>
      </c>
      <c r="G217">
        <v>1</v>
      </c>
      <c r="H217">
        <v>2</v>
      </c>
      <c r="I217" t="s">
        <v>622</v>
      </c>
      <c r="J217" t="s">
        <v>623</v>
      </c>
      <c r="K217" t="s">
        <v>624</v>
      </c>
      <c r="L217">
        <v>45811227</v>
      </c>
      <c r="N217">
        <v>1013</v>
      </c>
      <c r="O217" t="s">
        <v>452</v>
      </c>
      <c r="P217" t="s">
        <v>452</v>
      </c>
      <c r="Q217">
        <v>1</v>
      </c>
      <c r="W217">
        <v>0</v>
      </c>
      <c r="X217">
        <v>1279923399</v>
      </c>
      <c r="Y217">
        <v>15.5</v>
      </c>
      <c r="AA217">
        <v>0</v>
      </c>
      <c r="AB217">
        <v>1.05</v>
      </c>
      <c r="AC217">
        <v>0</v>
      </c>
      <c r="AD217">
        <v>0</v>
      </c>
      <c r="AE217">
        <v>0</v>
      </c>
      <c r="AF217">
        <v>1.05</v>
      </c>
      <c r="AG217">
        <v>0</v>
      </c>
      <c r="AH217">
        <v>0</v>
      </c>
      <c r="AI217">
        <v>1</v>
      </c>
      <c r="AJ217">
        <v>1</v>
      </c>
      <c r="AK217">
        <v>1</v>
      </c>
      <c r="AL217">
        <v>1</v>
      </c>
      <c r="AN217">
        <v>0</v>
      </c>
      <c r="AO217">
        <v>1</v>
      </c>
      <c r="AP217">
        <v>1</v>
      </c>
      <c r="AQ217">
        <v>0</v>
      </c>
      <c r="AR217">
        <v>0</v>
      </c>
      <c r="AS217" t="s">
        <v>3</v>
      </c>
      <c r="AT217">
        <v>12.4</v>
      </c>
      <c r="AU217" t="s">
        <v>11</v>
      </c>
      <c r="AV217">
        <v>0</v>
      </c>
      <c r="AW217">
        <v>2</v>
      </c>
      <c r="AX217">
        <v>50212099</v>
      </c>
      <c r="AY217">
        <v>1</v>
      </c>
      <c r="AZ217">
        <v>0</v>
      </c>
      <c r="BA217">
        <v>213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X217">
        <f>Y217*Source!I417</f>
        <v>2.48</v>
      </c>
      <c r="CY217">
        <f>AB217</f>
        <v>1.05</v>
      </c>
      <c r="CZ217">
        <f>AF217</f>
        <v>1.05</v>
      </c>
      <c r="DA217">
        <f>AJ217</f>
        <v>1</v>
      </c>
      <c r="DB217">
        <f>ROUND((ROUND(AT217*CZ217,2)*1.25),1)</f>
        <v>16.3</v>
      </c>
      <c r="DC217">
        <f>ROUND((ROUND(AT217*AG217,2)*1.25),1)</f>
        <v>0</v>
      </c>
    </row>
    <row r="218" spans="1:107" x14ac:dyDescent="0.2">
      <c r="A218">
        <f>ROW(Source!A417)</f>
        <v>417</v>
      </c>
      <c r="B218">
        <v>50210945</v>
      </c>
      <c r="C218">
        <v>50212086</v>
      </c>
      <c r="D218">
        <v>45813321</v>
      </c>
      <c r="E218">
        <v>1</v>
      </c>
      <c r="F218">
        <v>1</v>
      </c>
      <c r="G218">
        <v>1</v>
      </c>
      <c r="H218">
        <v>2</v>
      </c>
      <c r="I218" t="s">
        <v>532</v>
      </c>
      <c r="J218" t="s">
        <v>533</v>
      </c>
      <c r="K218" t="s">
        <v>534</v>
      </c>
      <c r="L218">
        <v>45811227</v>
      </c>
      <c r="N218">
        <v>1013</v>
      </c>
      <c r="O218" t="s">
        <v>452</v>
      </c>
      <c r="P218" t="s">
        <v>452</v>
      </c>
      <c r="Q218">
        <v>1</v>
      </c>
      <c r="W218">
        <v>0</v>
      </c>
      <c r="X218">
        <v>771999048</v>
      </c>
      <c r="Y218">
        <v>1.9750000000000001</v>
      </c>
      <c r="AA218">
        <v>0</v>
      </c>
      <c r="AB218">
        <v>86.55</v>
      </c>
      <c r="AC218">
        <v>0</v>
      </c>
      <c r="AD218">
        <v>0</v>
      </c>
      <c r="AE218">
        <v>0</v>
      </c>
      <c r="AF218">
        <v>86.55</v>
      </c>
      <c r="AG218">
        <v>0</v>
      </c>
      <c r="AH218">
        <v>0</v>
      </c>
      <c r="AI218">
        <v>1</v>
      </c>
      <c r="AJ218">
        <v>1</v>
      </c>
      <c r="AK218">
        <v>1</v>
      </c>
      <c r="AL218">
        <v>1</v>
      </c>
      <c r="AN218">
        <v>0</v>
      </c>
      <c r="AO218">
        <v>1</v>
      </c>
      <c r="AP218">
        <v>1</v>
      </c>
      <c r="AQ218">
        <v>0</v>
      </c>
      <c r="AR218">
        <v>0</v>
      </c>
      <c r="AS218" t="s">
        <v>3</v>
      </c>
      <c r="AT218">
        <v>1.58</v>
      </c>
      <c r="AU218" t="s">
        <v>11</v>
      </c>
      <c r="AV218">
        <v>0</v>
      </c>
      <c r="AW218">
        <v>2</v>
      </c>
      <c r="AX218">
        <v>50212100</v>
      </c>
      <c r="AY218">
        <v>1</v>
      </c>
      <c r="AZ218">
        <v>0</v>
      </c>
      <c r="BA218">
        <v>214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X218">
        <f>Y218*Source!I417</f>
        <v>0.316</v>
      </c>
      <c r="CY218">
        <f>AB218</f>
        <v>86.55</v>
      </c>
      <c r="CZ218">
        <f>AF218</f>
        <v>86.55</v>
      </c>
      <c r="DA218">
        <f>AJ218</f>
        <v>1</v>
      </c>
      <c r="DB218">
        <f>ROUND((ROUND(AT218*CZ218,2)*1.25),1)</f>
        <v>170.9</v>
      </c>
      <c r="DC218">
        <f>ROUND((ROUND(AT218*AG218,2)*1.25),1)</f>
        <v>0</v>
      </c>
    </row>
    <row r="219" spans="1:107" x14ac:dyDescent="0.2">
      <c r="A219">
        <f>ROW(Source!A417)</f>
        <v>417</v>
      </c>
      <c r="B219">
        <v>50210945</v>
      </c>
      <c r="C219">
        <v>50212086</v>
      </c>
      <c r="D219">
        <v>45816587</v>
      </c>
      <c r="E219">
        <v>1</v>
      </c>
      <c r="F219">
        <v>1</v>
      </c>
      <c r="G219">
        <v>1</v>
      </c>
      <c r="H219">
        <v>3</v>
      </c>
      <c r="I219" t="s">
        <v>343</v>
      </c>
      <c r="J219" t="s">
        <v>345</v>
      </c>
      <c r="K219" t="s">
        <v>344</v>
      </c>
      <c r="L219">
        <v>1348</v>
      </c>
      <c r="N219">
        <v>1009</v>
      </c>
      <c r="O219" t="s">
        <v>190</v>
      </c>
      <c r="P219" t="s">
        <v>190</v>
      </c>
      <c r="Q219">
        <v>1000</v>
      </c>
      <c r="W219">
        <v>0</v>
      </c>
      <c r="X219">
        <v>1866978246</v>
      </c>
      <c r="Y219">
        <v>5.2999999999999999E-2</v>
      </c>
      <c r="AA219">
        <v>9291.35</v>
      </c>
      <c r="AB219">
        <v>0</v>
      </c>
      <c r="AC219">
        <v>0</v>
      </c>
      <c r="AD219">
        <v>0</v>
      </c>
      <c r="AE219">
        <v>9291.35</v>
      </c>
      <c r="AF219">
        <v>0</v>
      </c>
      <c r="AG219">
        <v>0</v>
      </c>
      <c r="AH219">
        <v>0</v>
      </c>
      <c r="AI219">
        <v>1</v>
      </c>
      <c r="AJ219">
        <v>1</v>
      </c>
      <c r="AK219">
        <v>1</v>
      </c>
      <c r="AL219">
        <v>1</v>
      </c>
      <c r="AN219">
        <v>1</v>
      </c>
      <c r="AO219">
        <v>0</v>
      </c>
      <c r="AP219">
        <v>0</v>
      </c>
      <c r="AQ219">
        <v>0</v>
      </c>
      <c r="AR219">
        <v>0</v>
      </c>
      <c r="AS219" t="s">
        <v>3</v>
      </c>
      <c r="AT219">
        <v>5.2999999999999999E-2</v>
      </c>
      <c r="AU219" t="s">
        <v>3</v>
      </c>
      <c r="AV219">
        <v>0</v>
      </c>
      <c r="AW219">
        <v>1</v>
      </c>
      <c r="AX219">
        <v>-1</v>
      </c>
      <c r="AY219">
        <v>0</v>
      </c>
      <c r="AZ219">
        <v>0</v>
      </c>
      <c r="BA219" t="s">
        <v>3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X219">
        <f>Y219*Source!I417</f>
        <v>8.4799999999999997E-3</v>
      </c>
      <c r="CY219">
        <f>AA219</f>
        <v>9291.35</v>
      </c>
      <c r="CZ219">
        <f>AE219</f>
        <v>9291.35</v>
      </c>
      <c r="DA219">
        <f>AI219</f>
        <v>1</v>
      </c>
      <c r="DB219">
        <f>ROUND(ROUND(AT219*CZ219,2),1)</f>
        <v>492.4</v>
      </c>
      <c r="DC219">
        <f>ROUND(ROUND(AT219*AG219,2),1)</f>
        <v>0</v>
      </c>
    </row>
    <row r="220" spans="1:107" x14ac:dyDescent="0.2">
      <c r="A220">
        <f>ROW(Source!A417)</f>
        <v>417</v>
      </c>
      <c r="B220">
        <v>50210945</v>
      </c>
      <c r="C220">
        <v>50212086</v>
      </c>
      <c r="D220">
        <v>45825196</v>
      </c>
      <c r="E220">
        <v>1</v>
      </c>
      <c r="F220">
        <v>1</v>
      </c>
      <c r="G220">
        <v>1</v>
      </c>
      <c r="H220">
        <v>3</v>
      </c>
      <c r="I220" t="s">
        <v>347</v>
      </c>
      <c r="J220" t="s">
        <v>350</v>
      </c>
      <c r="K220" t="s">
        <v>348</v>
      </c>
      <c r="L220">
        <v>1301</v>
      </c>
      <c r="N220">
        <v>1003</v>
      </c>
      <c r="O220" t="s">
        <v>349</v>
      </c>
      <c r="P220" t="s">
        <v>349</v>
      </c>
      <c r="Q220">
        <v>1</v>
      </c>
      <c r="W220">
        <v>0</v>
      </c>
      <c r="X220">
        <v>878622785</v>
      </c>
      <c r="Y220">
        <v>214.25</v>
      </c>
      <c r="AA220">
        <v>25.88</v>
      </c>
      <c r="AB220">
        <v>0</v>
      </c>
      <c r="AC220">
        <v>0</v>
      </c>
      <c r="AD220">
        <v>0</v>
      </c>
      <c r="AE220">
        <v>25.88</v>
      </c>
      <c r="AF220">
        <v>0</v>
      </c>
      <c r="AG220">
        <v>0</v>
      </c>
      <c r="AH220">
        <v>0</v>
      </c>
      <c r="AI220">
        <v>1</v>
      </c>
      <c r="AJ220">
        <v>1</v>
      </c>
      <c r="AK220">
        <v>1</v>
      </c>
      <c r="AL220">
        <v>1</v>
      </c>
      <c r="AN220">
        <v>1</v>
      </c>
      <c r="AO220">
        <v>0</v>
      </c>
      <c r="AP220">
        <v>0</v>
      </c>
      <c r="AQ220">
        <v>0</v>
      </c>
      <c r="AR220">
        <v>0</v>
      </c>
      <c r="AS220" t="s">
        <v>3</v>
      </c>
      <c r="AT220">
        <v>214.25</v>
      </c>
      <c r="AU220" t="s">
        <v>3</v>
      </c>
      <c r="AV220">
        <v>0</v>
      </c>
      <c r="AW220">
        <v>1</v>
      </c>
      <c r="AX220">
        <v>-1</v>
      </c>
      <c r="AY220">
        <v>0</v>
      </c>
      <c r="AZ220">
        <v>0</v>
      </c>
      <c r="BA220" t="s">
        <v>3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X220">
        <f>Y220*Source!I417</f>
        <v>34.28</v>
      </c>
      <c r="CY220">
        <f>AA220</f>
        <v>25.88</v>
      </c>
      <c r="CZ220">
        <f>AE220</f>
        <v>25.88</v>
      </c>
      <c r="DA220">
        <f>AI220</f>
        <v>1</v>
      </c>
      <c r="DB220">
        <f>ROUND(ROUND(AT220*CZ220,2),1)</f>
        <v>5544.8</v>
      </c>
      <c r="DC220">
        <f>ROUND(ROUND(AT220*AG220,2),1)</f>
        <v>0</v>
      </c>
    </row>
    <row r="221" spans="1:107" x14ac:dyDescent="0.2">
      <c r="A221">
        <f>ROW(Source!A420)</f>
        <v>420</v>
      </c>
      <c r="B221">
        <v>50210945</v>
      </c>
      <c r="C221">
        <v>50212105</v>
      </c>
      <c r="D221">
        <v>45968655</v>
      </c>
      <c r="E221">
        <v>1</v>
      </c>
      <c r="F221">
        <v>1</v>
      </c>
      <c r="G221">
        <v>1</v>
      </c>
      <c r="H221">
        <v>1</v>
      </c>
      <c r="I221" t="s">
        <v>455</v>
      </c>
      <c r="J221" t="s">
        <v>3</v>
      </c>
      <c r="K221" t="s">
        <v>456</v>
      </c>
      <c r="L221">
        <v>1476</v>
      </c>
      <c r="N221">
        <v>1013</v>
      </c>
      <c r="O221" t="s">
        <v>447</v>
      </c>
      <c r="P221" t="s">
        <v>448</v>
      </c>
      <c r="Q221">
        <v>1</v>
      </c>
      <c r="W221">
        <v>0</v>
      </c>
      <c r="X221">
        <v>421273387</v>
      </c>
      <c r="Y221">
        <v>8.176499999999999</v>
      </c>
      <c r="AA221">
        <v>0</v>
      </c>
      <c r="AB221">
        <v>0</v>
      </c>
      <c r="AC221">
        <v>0</v>
      </c>
      <c r="AD221">
        <v>6.94</v>
      </c>
      <c r="AE221">
        <v>0</v>
      </c>
      <c r="AF221">
        <v>0</v>
      </c>
      <c r="AG221">
        <v>0</v>
      </c>
      <c r="AH221">
        <v>6.94</v>
      </c>
      <c r="AI221">
        <v>1</v>
      </c>
      <c r="AJ221">
        <v>1</v>
      </c>
      <c r="AK221">
        <v>1</v>
      </c>
      <c r="AL221">
        <v>1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3</v>
      </c>
      <c r="AT221">
        <v>7.11</v>
      </c>
      <c r="AU221" t="s">
        <v>12</v>
      </c>
      <c r="AV221">
        <v>1</v>
      </c>
      <c r="AW221">
        <v>2</v>
      </c>
      <c r="AX221">
        <v>50212114</v>
      </c>
      <c r="AY221">
        <v>1</v>
      </c>
      <c r="AZ221">
        <v>0</v>
      </c>
      <c r="BA221">
        <v>217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X221">
        <f>Y221*Source!I420</f>
        <v>21.258899999999997</v>
      </c>
      <c r="CY221">
        <f>AD221</f>
        <v>6.94</v>
      </c>
      <c r="CZ221">
        <f>AH221</f>
        <v>6.94</v>
      </c>
      <c r="DA221">
        <f>AL221</f>
        <v>1</v>
      </c>
      <c r="DB221">
        <f>ROUND((ROUND(AT221*CZ221,2)*1.15),1)</f>
        <v>56.7</v>
      </c>
      <c r="DC221">
        <f>ROUND((ROUND(AT221*AG221,2)*1.15),1)</f>
        <v>0</v>
      </c>
    </row>
    <row r="222" spans="1:107" x14ac:dyDescent="0.2">
      <c r="A222">
        <f>ROW(Source!A420)</f>
        <v>420</v>
      </c>
      <c r="B222">
        <v>50210945</v>
      </c>
      <c r="C222">
        <v>50212105</v>
      </c>
      <c r="D222">
        <v>121548</v>
      </c>
      <c r="E222">
        <v>1</v>
      </c>
      <c r="F222">
        <v>1</v>
      </c>
      <c r="G222">
        <v>1</v>
      </c>
      <c r="H222">
        <v>1</v>
      </c>
      <c r="I222" t="s">
        <v>25</v>
      </c>
      <c r="J222" t="s">
        <v>3</v>
      </c>
      <c r="K222" t="s">
        <v>463</v>
      </c>
      <c r="L222">
        <v>608254</v>
      </c>
      <c r="N222">
        <v>1013</v>
      </c>
      <c r="O222" t="s">
        <v>464</v>
      </c>
      <c r="P222" t="s">
        <v>464</v>
      </c>
      <c r="Q222">
        <v>1</v>
      </c>
      <c r="W222">
        <v>0</v>
      </c>
      <c r="X222">
        <v>-185737400</v>
      </c>
      <c r="Y222">
        <v>0.71249999999999991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1</v>
      </c>
      <c r="AJ222">
        <v>1</v>
      </c>
      <c r="AK222">
        <v>1</v>
      </c>
      <c r="AL222">
        <v>1</v>
      </c>
      <c r="AN222">
        <v>0</v>
      </c>
      <c r="AO222">
        <v>1</v>
      </c>
      <c r="AP222">
        <v>1</v>
      </c>
      <c r="AQ222">
        <v>0</v>
      </c>
      <c r="AR222">
        <v>0</v>
      </c>
      <c r="AS222" t="s">
        <v>3</v>
      </c>
      <c r="AT222">
        <v>0.56999999999999995</v>
      </c>
      <c r="AU222" t="s">
        <v>11</v>
      </c>
      <c r="AV222">
        <v>2</v>
      </c>
      <c r="AW222">
        <v>2</v>
      </c>
      <c r="AX222">
        <v>50212115</v>
      </c>
      <c r="AY222">
        <v>1</v>
      </c>
      <c r="AZ222">
        <v>0</v>
      </c>
      <c r="BA222">
        <v>218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X222">
        <f>Y222*Source!I420</f>
        <v>1.8524999999999998</v>
      </c>
      <c r="CY222">
        <f>AD222</f>
        <v>0</v>
      </c>
      <c r="CZ222">
        <f>AH222</f>
        <v>0</v>
      </c>
      <c r="DA222">
        <f>AL222</f>
        <v>1</v>
      </c>
      <c r="DB222">
        <f>ROUND((ROUND(AT222*CZ222,2)*1.25),1)</f>
        <v>0</v>
      </c>
      <c r="DC222">
        <f>ROUND((ROUND(AT222*AG222,2)*1.25),1)</f>
        <v>0</v>
      </c>
    </row>
    <row r="223" spans="1:107" x14ac:dyDescent="0.2">
      <c r="A223">
        <f>ROW(Source!A420)</f>
        <v>420</v>
      </c>
      <c r="B223">
        <v>50210945</v>
      </c>
      <c r="C223">
        <v>50212105</v>
      </c>
      <c r="D223">
        <v>45811539</v>
      </c>
      <c r="E223">
        <v>1</v>
      </c>
      <c r="F223">
        <v>1</v>
      </c>
      <c r="G223">
        <v>1</v>
      </c>
      <c r="H223">
        <v>2</v>
      </c>
      <c r="I223" t="s">
        <v>616</v>
      </c>
      <c r="J223" t="s">
        <v>617</v>
      </c>
      <c r="K223" t="s">
        <v>618</v>
      </c>
      <c r="L223">
        <v>45811227</v>
      </c>
      <c r="N223">
        <v>1013</v>
      </c>
      <c r="O223" t="s">
        <v>452</v>
      </c>
      <c r="P223" t="s">
        <v>452</v>
      </c>
      <c r="Q223">
        <v>1</v>
      </c>
      <c r="W223">
        <v>0</v>
      </c>
      <c r="X223">
        <v>-1433120937</v>
      </c>
      <c r="Y223">
        <v>0.71249999999999991</v>
      </c>
      <c r="AA223">
        <v>0</v>
      </c>
      <c r="AB223">
        <v>22.07</v>
      </c>
      <c r="AC223">
        <v>11.38</v>
      </c>
      <c r="AD223">
        <v>0</v>
      </c>
      <c r="AE223">
        <v>0</v>
      </c>
      <c r="AF223">
        <v>22.07</v>
      </c>
      <c r="AG223">
        <v>11.38</v>
      </c>
      <c r="AH223">
        <v>0</v>
      </c>
      <c r="AI223">
        <v>1</v>
      </c>
      <c r="AJ223">
        <v>1</v>
      </c>
      <c r="AK223">
        <v>1</v>
      </c>
      <c r="AL223">
        <v>1</v>
      </c>
      <c r="AN223">
        <v>0</v>
      </c>
      <c r="AO223">
        <v>1</v>
      </c>
      <c r="AP223">
        <v>1</v>
      </c>
      <c r="AQ223">
        <v>0</v>
      </c>
      <c r="AR223">
        <v>0</v>
      </c>
      <c r="AS223" t="s">
        <v>3</v>
      </c>
      <c r="AT223">
        <v>0.56999999999999995</v>
      </c>
      <c r="AU223" t="s">
        <v>11</v>
      </c>
      <c r="AV223">
        <v>0</v>
      </c>
      <c r="AW223">
        <v>2</v>
      </c>
      <c r="AX223">
        <v>50212116</v>
      </c>
      <c r="AY223">
        <v>1</v>
      </c>
      <c r="AZ223">
        <v>0</v>
      </c>
      <c r="BA223">
        <v>219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X223">
        <f>Y223*Source!I420</f>
        <v>1.8524999999999998</v>
      </c>
      <c r="CY223">
        <f>AB223</f>
        <v>22.07</v>
      </c>
      <c r="CZ223">
        <f>AF223</f>
        <v>22.07</v>
      </c>
      <c r="DA223">
        <f>AJ223</f>
        <v>1</v>
      </c>
      <c r="DB223">
        <f>ROUND((ROUND(AT223*CZ223,2)*1.25),1)</f>
        <v>15.7</v>
      </c>
      <c r="DC223">
        <f>ROUND((ROUND(AT223*AG223,2)*1.25),1)</f>
        <v>8.1</v>
      </c>
    </row>
    <row r="224" spans="1:107" x14ac:dyDescent="0.2">
      <c r="A224">
        <f>ROW(Source!A420)</f>
        <v>420</v>
      </c>
      <c r="B224">
        <v>50210945</v>
      </c>
      <c r="C224">
        <v>50212105</v>
      </c>
      <c r="D224">
        <v>45813122</v>
      </c>
      <c r="E224">
        <v>1</v>
      </c>
      <c r="F224">
        <v>1</v>
      </c>
      <c r="G224">
        <v>1</v>
      </c>
      <c r="H224">
        <v>2</v>
      </c>
      <c r="I224" t="s">
        <v>622</v>
      </c>
      <c r="J224" t="s">
        <v>623</v>
      </c>
      <c r="K224" t="s">
        <v>624</v>
      </c>
      <c r="L224">
        <v>45811227</v>
      </c>
      <c r="N224">
        <v>1013</v>
      </c>
      <c r="O224" t="s">
        <v>452</v>
      </c>
      <c r="P224" t="s">
        <v>452</v>
      </c>
      <c r="Q224">
        <v>1</v>
      </c>
      <c r="W224">
        <v>0</v>
      </c>
      <c r="X224">
        <v>1279923399</v>
      </c>
      <c r="Y224">
        <v>0.71249999999999991</v>
      </c>
      <c r="AA224">
        <v>0</v>
      </c>
      <c r="AB224">
        <v>1.05</v>
      </c>
      <c r="AC224">
        <v>0</v>
      </c>
      <c r="AD224">
        <v>0</v>
      </c>
      <c r="AE224">
        <v>0</v>
      </c>
      <c r="AF224">
        <v>1.05</v>
      </c>
      <c r="AG224">
        <v>0</v>
      </c>
      <c r="AH224">
        <v>0</v>
      </c>
      <c r="AI224">
        <v>1</v>
      </c>
      <c r="AJ224">
        <v>1</v>
      </c>
      <c r="AK224">
        <v>1</v>
      </c>
      <c r="AL224">
        <v>1</v>
      </c>
      <c r="AN224">
        <v>0</v>
      </c>
      <c r="AO224">
        <v>1</v>
      </c>
      <c r="AP224">
        <v>1</v>
      </c>
      <c r="AQ224">
        <v>0</v>
      </c>
      <c r="AR224">
        <v>0</v>
      </c>
      <c r="AS224" t="s">
        <v>3</v>
      </c>
      <c r="AT224">
        <v>0.56999999999999995</v>
      </c>
      <c r="AU224" t="s">
        <v>11</v>
      </c>
      <c r="AV224">
        <v>0</v>
      </c>
      <c r="AW224">
        <v>2</v>
      </c>
      <c r="AX224">
        <v>50212117</v>
      </c>
      <c r="AY224">
        <v>1</v>
      </c>
      <c r="AZ224">
        <v>0</v>
      </c>
      <c r="BA224">
        <v>220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X224">
        <f>Y224*Source!I420</f>
        <v>1.8524999999999998</v>
      </c>
      <c r="CY224">
        <f>AB224</f>
        <v>1.05</v>
      </c>
      <c r="CZ224">
        <f>AF224</f>
        <v>1.05</v>
      </c>
      <c r="DA224">
        <f>AJ224</f>
        <v>1</v>
      </c>
      <c r="DB224">
        <f>ROUND((ROUND(AT224*CZ224,2)*1.25),1)</f>
        <v>0.8</v>
      </c>
      <c r="DC224">
        <f>ROUND((ROUND(AT224*AG224,2)*1.25),1)</f>
        <v>0</v>
      </c>
    </row>
    <row r="225" spans="1:107" x14ac:dyDescent="0.2">
      <c r="A225">
        <f>ROW(Source!A420)</f>
        <v>420</v>
      </c>
      <c r="B225">
        <v>50210945</v>
      </c>
      <c r="C225">
        <v>50212105</v>
      </c>
      <c r="D225">
        <v>45813321</v>
      </c>
      <c r="E225">
        <v>1</v>
      </c>
      <c r="F225">
        <v>1</v>
      </c>
      <c r="G225">
        <v>1</v>
      </c>
      <c r="H225">
        <v>2</v>
      </c>
      <c r="I225" t="s">
        <v>532</v>
      </c>
      <c r="J225" t="s">
        <v>533</v>
      </c>
      <c r="K225" t="s">
        <v>534</v>
      </c>
      <c r="L225">
        <v>45811227</v>
      </c>
      <c r="N225">
        <v>1013</v>
      </c>
      <c r="O225" t="s">
        <v>452</v>
      </c>
      <c r="P225" t="s">
        <v>452</v>
      </c>
      <c r="Q225">
        <v>1</v>
      </c>
      <c r="W225">
        <v>0</v>
      </c>
      <c r="X225">
        <v>771999048</v>
      </c>
      <c r="Y225">
        <v>0.13750000000000001</v>
      </c>
      <c r="AA225">
        <v>0</v>
      </c>
      <c r="AB225">
        <v>86.55</v>
      </c>
      <c r="AC225">
        <v>0</v>
      </c>
      <c r="AD225">
        <v>0</v>
      </c>
      <c r="AE225">
        <v>0</v>
      </c>
      <c r="AF225">
        <v>86.55</v>
      </c>
      <c r="AG225">
        <v>0</v>
      </c>
      <c r="AH225">
        <v>0</v>
      </c>
      <c r="AI225">
        <v>1</v>
      </c>
      <c r="AJ225">
        <v>1</v>
      </c>
      <c r="AK225">
        <v>1</v>
      </c>
      <c r="AL225">
        <v>1</v>
      </c>
      <c r="AN225">
        <v>0</v>
      </c>
      <c r="AO225">
        <v>1</v>
      </c>
      <c r="AP225">
        <v>1</v>
      </c>
      <c r="AQ225">
        <v>0</v>
      </c>
      <c r="AR225">
        <v>0</v>
      </c>
      <c r="AS225" t="s">
        <v>3</v>
      </c>
      <c r="AT225">
        <v>0.11</v>
      </c>
      <c r="AU225" t="s">
        <v>11</v>
      </c>
      <c r="AV225">
        <v>0</v>
      </c>
      <c r="AW225">
        <v>2</v>
      </c>
      <c r="AX225">
        <v>50212118</v>
      </c>
      <c r="AY225">
        <v>1</v>
      </c>
      <c r="AZ225">
        <v>0</v>
      </c>
      <c r="BA225">
        <v>221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X225">
        <f>Y225*Source!I420</f>
        <v>0.35750000000000004</v>
      </c>
      <c r="CY225">
        <f>AB225</f>
        <v>86.55</v>
      </c>
      <c r="CZ225">
        <f>AF225</f>
        <v>86.55</v>
      </c>
      <c r="DA225">
        <f>AJ225</f>
        <v>1</v>
      </c>
      <c r="DB225">
        <f>ROUND((ROUND(AT225*CZ225,2)*1.25),1)</f>
        <v>11.9</v>
      </c>
      <c r="DC225">
        <f>ROUND((ROUND(AT225*AG225,2)*1.25),1)</f>
        <v>0</v>
      </c>
    </row>
    <row r="226" spans="1:107" x14ac:dyDescent="0.2">
      <c r="A226">
        <f>ROW(Source!A420)</f>
        <v>420</v>
      </c>
      <c r="B226">
        <v>50210945</v>
      </c>
      <c r="C226">
        <v>50212105</v>
      </c>
      <c r="D226">
        <v>45817953</v>
      </c>
      <c r="E226">
        <v>1</v>
      </c>
      <c r="F226">
        <v>1</v>
      </c>
      <c r="G226">
        <v>1</v>
      </c>
      <c r="H226">
        <v>3</v>
      </c>
      <c r="I226" t="s">
        <v>361</v>
      </c>
      <c r="J226" t="s">
        <v>363</v>
      </c>
      <c r="K226" t="s">
        <v>362</v>
      </c>
      <c r="L226">
        <v>1348</v>
      </c>
      <c r="N226">
        <v>1009</v>
      </c>
      <c r="O226" t="s">
        <v>190</v>
      </c>
      <c r="P226" t="s">
        <v>190</v>
      </c>
      <c r="Q226">
        <v>1000</v>
      </c>
      <c r="W226">
        <v>0</v>
      </c>
      <c r="X226">
        <v>1580971982</v>
      </c>
      <c r="Y226">
        <v>0.104231</v>
      </c>
      <c r="AA226">
        <v>12683.81</v>
      </c>
      <c r="AB226">
        <v>0</v>
      </c>
      <c r="AC226">
        <v>0</v>
      </c>
      <c r="AD226">
        <v>0</v>
      </c>
      <c r="AE226">
        <v>12683.81</v>
      </c>
      <c r="AF226">
        <v>0</v>
      </c>
      <c r="AG226">
        <v>0</v>
      </c>
      <c r="AH226">
        <v>0</v>
      </c>
      <c r="AI226">
        <v>1</v>
      </c>
      <c r="AJ226">
        <v>1</v>
      </c>
      <c r="AK226">
        <v>1</v>
      </c>
      <c r="AL226">
        <v>1</v>
      </c>
      <c r="AN226">
        <v>1</v>
      </c>
      <c r="AO226">
        <v>0</v>
      </c>
      <c r="AP226">
        <v>0</v>
      </c>
      <c r="AQ226">
        <v>0</v>
      </c>
      <c r="AR226">
        <v>0</v>
      </c>
      <c r="AS226" t="s">
        <v>3</v>
      </c>
      <c r="AT226">
        <v>0.104231</v>
      </c>
      <c r="AU226" t="s">
        <v>3</v>
      </c>
      <c r="AV226">
        <v>0</v>
      </c>
      <c r="AW226">
        <v>1</v>
      </c>
      <c r="AX226">
        <v>-1</v>
      </c>
      <c r="AY226">
        <v>0</v>
      </c>
      <c r="AZ226">
        <v>0</v>
      </c>
      <c r="BA226" t="s">
        <v>3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X226">
        <f>Y226*Source!I420</f>
        <v>0.27100060000000004</v>
      </c>
      <c r="CY226">
        <f>AA226</f>
        <v>12683.81</v>
      </c>
      <c r="CZ226">
        <f>AE226</f>
        <v>12683.81</v>
      </c>
      <c r="DA226">
        <f>AI226</f>
        <v>1</v>
      </c>
      <c r="DB226">
        <f>ROUND(ROUND(AT226*CZ226,2),1)</f>
        <v>1322.1</v>
      </c>
      <c r="DC226">
        <f>ROUND(ROUND(AT226*AG226,2),1)</f>
        <v>0</v>
      </c>
    </row>
    <row r="227" spans="1:107" x14ac:dyDescent="0.2">
      <c r="A227">
        <f>ROW(Source!A420)</f>
        <v>420</v>
      </c>
      <c r="B227">
        <v>50210945</v>
      </c>
      <c r="C227">
        <v>50212105</v>
      </c>
      <c r="D227">
        <v>45821087</v>
      </c>
      <c r="E227">
        <v>1</v>
      </c>
      <c r="F227">
        <v>1</v>
      </c>
      <c r="G227">
        <v>1</v>
      </c>
      <c r="H227">
        <v>3</v>
      </c>
      <c r="I227" t="s">
        <v>365</v>
      </c>
      <c r="J227" t="s">
        <v>368</v>
      </c>
      <c r="K227" t="s">
        <v>366</v>
      </c>
      <c r="L227">
        <v>1358</v>
      </c>
      <c r="N227">
        <v>1010</v>
      </c>
      <c r="O227" t="s">
        <v>367</v>
      </c>
      <c r="P227" t="s">
        <v>367</v>
      </c>
      <c r="Q227">
        <v>10</v>
      </c>
      <c r="W227">
        <v>0</v>
      </c>
      <c r="X227">
        <v>264401992</v>
      </c>
      <c r="Y227">
        <v>20.846153999999999</v>
      </c>
      <c r="AA227">
        <v>10.93</v>
      </c>
      <c r="AB227">
        <v>0</v>
      </c>
      <c r="AC227">
        <v>0</v>
      </c>
      <c r="AD227">
        <v>0</v>
      </c>
      <c r="AE227">
        <v>10.93</v>
      </c>
      <c r="AF227">
        <v>0</v>
      </c>
      <c r="AG227">
        <v>0</v>
      </c>
      <c r="AH227">
        <v>0</v>
      </c>
      <c r="AI227">
        <v>1</v>
      </c>
      <c r="AJ227">
        <v>1</v>
      </c>
      <c r="AK227">
        <v>1</v>
      </c>
      <c r="AL227">
        <v>1</v>
      </c>
      <c r="AN227">
        <v>0</v>
      </c>
      <c r="AO227">
        <v>0</v>
      </c>
      <c r="AP227">
        <v>0</v>
      </c>
      <c r="AQ227">
        <v>0</v>
      </c>
      <c r="AR227">
        <v>0</v>
      </c>
      <c r="AS227" t="s">
        <v>3</v>
      </c>
      <c r="AT227">
        <v>20.846153999999999</v>
      </c>
      <c r="AU227" t="s">
        <v>3</v>
      </c>
      <c r="AV227">
        <v>0</v>
      </c>
      <c r="AW227">
        <v>1</v>
      </c>
      <c r="AX227">
        <v>-1</v>
      </c>
      <c r="AY227">
        <v>0</v>
      </c>
      <c r="AZ227">
        <v>0</v>
      </c>
      <c r="BA227" t="s">
        <v>3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X227">
        <f>Y227*Source!I420</f>
        <v>54.2000004</v>
      </c>
      <c r="CY227">
        <f>AA227</f>
        <v>10.93</v>
      </c>
      <c r="CZ227">
        <f>AE227</f>
        <v>10.93</v>
      </c>
      <c r="DA227">
        <f>AI227</f>
        <v>1</v>
      </c>
      <c r="DB227">
        <f>ROUND(ROUND(AT227*CZ227,2),1)</f>
        <v>227.9</v>
      </c>
      <c r="DC227">
        <f>ROUND(ROUND(AT227*AG227,2),1)</f>
        <v>0</v>
      </c>
    </row>
    <row r="228" spans="1:107" x14ac:dyDescent="0.2">
      <c r="A228">
        <f>ROW(Source!A420)</f>
        <v>420</v>
      </c>
      <c r="B228">
        <v>50210945</v>
      </c>
      <c r="C228">
        <v>50212105</v>
      </c>
      <c r="D228">
        <v>45825451</v>
      </c>
      <c r="E228">
        <v>1</v>
      </c>
      <c r="F228">
        <v>1</v>
      </c>
      <c r="G228">
        <v>1</v>
      </c>
      <c r="H228">
        <v>3</v>
      </c>
      <c r="I228" t="s">
        <v>357</v>
      </c>
      <c r="J228" t="s">
        <v>359</v>
      </c>
      <c r="K228" t="s">
        <v>358</v>
      </c>
      <c r="L228">
        <v>1301</v>
      </c>
      <c r="N228">
        <v>1003</v>
      </c>
      <c r="O228" t="s">
        <v>349</v>
      </c>
      <c r="P228" t="s">
        <v>349</v>
      </c>
      <c r="Q228">
        <v>1</v>
      </c>
      <c r="W228">
        <v>0</v>
      </c>
      <c r="X228">
        <v>-950338045</v>
      </c>
      <c r="Y228">
        <v>37.5</v>
      </c>
      <c r="AA228">
        <v>16.579999999999998</v>
      </c>
      <c r="AB228">
        <v>0</v>
      </c>
      <c r="AC228">
        <v>0</v>
      </c>
      <c r="AD228">
        <v>0</v>
      </c>
      <c r="AE228">
        <v>16.579999999999998</v>
      </c>
      <c r="AF228">
        <v>0</v>
      </c>
      <c r="AG228">
        <v>0</v>
      </c>
      <c r="AH228">
        <v>0</v>
      </c>
      <c r="AI228">
        <v>1</v>
      </c>
      <c r="AJ228">
        <v>1</v>
      </c>
      <c r="AK228">
        <v>1</v>
      </c>
      <c r="AL228">
        <v>1</v>
      </c>
      <c r="AN228">
        <v>1</v>
      </c>
      <c r="AO228">
        <v>0</v>
      </c>
      <c r="AP228">
        <v>0</v>
      </c>
      <c r="AQ228">
        <v>0</v>
      </c>
      <c r="AR228">
        <v>0</v>
      </c>
      <c r="AS228" t="s">
        <v>3</v>
      </c>
      <c r="AT228">
        <v>37.5</v>
      </c>
      <c r="AU228" t="s">
        <v>3</v>
      </c>
      <c r="AV228">
        <v>0</v>
      </c>
      <c r="AW228">
        <v>1</v>
      </c>
      <c r="AX228">
        <v>-1</v>
      </c>
      <c r="AY228">
        <v>0</v>
      </c>
      <c r="AZ228">
        <v>0</v>
      </c>
      <c r="BA228" t="s">
        <v>3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X228">
        <f>Y228*Source!I420</f>
        <v>97.5</v>
      </c>
      <c r="CY228">
        <f>AA228</f>
        <v>16.579999999999998</v>
      </c>
      <c r="CZ228">
        <f>AE228</f>
        <v>16.579999999999998</v>
      </c>
      <c r="DA228">
        <f>AI228</f>
        <v>1</v>
      </c>
      <c r="DB228">
        <f>ROUND(ROUND(AT228*CZ228,2),1)</f>
        <v>621.79999999999995</v>
      </c>
      <c r="DC228">
        <f>ROUND(ROUND(AT228*AG228,2),1)</f>
        <v>0</v>
      </c>
    </row>
    <row r="229" spans="1:107" x14ac:dyDescent="0.2">
      <c r="A229">
        <f>ROW(Source!A424)</f>
        <v>424</v>
      </c>
      <c r="B229">
        <v>50210945</v>
      </c>
      <c r="C229">
        <v>50212124</v>
      </c>
      <c r="D229">
        <v>45982582</v>
      </c>
      <c r="E229">
        <v>1</v>
      </c>
      <c r="F229">
        <v>1</v>
      </c>
      <c r="G229">
        <v>1</v>
      </c>
      <c r="H229">
        <v>1</v>
      </c>
      <c r="I229" t="s">
        <v>625</v>
      </c>
      <c r="J229" t="s">
        <v>3</v>
      </c>
      <c r="K229" t="s">
        <v>626</v>
      </c>
      <c r="L229">
        <v>1476</v>
      </c>
      <c r="N229">
        <v>1013</v>
      </c>
      <c r="O229" t="s">
        <v>447</v>
      </c>
      <c r="P229" t="s">
        <v>448</v>
      </c>
      <c r="Q229">
        <v>1</v>
      </c>
      <c r="W229">
        <v>0</v>
      </c>
      <c r="X229">
        <v>433833359</v>
      </c>
      <c r="Y229">
        <v>6.1064999999999987</v>
      </c>
      <c r="AA229">
        <v>0</v>
      </c>
      <c r="AB229">
        <v>0</v>
      </c>
      <c r="AC229">
        <v>0</v>
      </c>
      <c r="AD229">
        <v>8.66</v>
      </c>
      <c r="AE229">
        <v>0</v>
      </c>
      <c r="AF229">
        <v>0</v>
      </c>
      <c r="AG229">
        <v>0</v>
      </c>
      <c r="AH229">
        <v>8.66</v>
      </c>
      <c r="AI229">
        <v>1</v>
      </c>
      <c r="AJ229">
        <v>1</v>
      </c>
      <c r="AK229">
        <v>1</v>
      </c>
      <c r="AL229">
        <v>1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3</v>
      </c>
      <c r="AT229">
        <v>5.31</v>
      </c>
      <c r="AU229" t="s">
        <v>12</v>
      </c>
      <c r="AV229">
        <v>1</v>
      </c>
      <c r="AW229">
        <v>2</v>
      </c>
      <c r="AX229">
        <v>50212133</v>
      </c>
      <c r="AY229">
        <v>1</v>
      </c>
      <c r="AZ229">
        <v>0</v>
      </c>
      <c r="BA229">
        <v>224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X229">
        <f>Y229*Source!I424</f>
        <v>0.87322949999999977</v>
      </c>
      <c r="CY229">
        <f>AD229</f>
        <v>8.66</v>
      </c>
      <c r="CZ229">
        <f>AH229</f>
        <v>8.66</v>
      </c>
      <c r="DA229">
        <f>AL229</f>
        <v>1</v>
      </c>
      <c r="DB229">
        <f>ROUND((ROUND(AT229*CZ229,2)*1.15),1)</f>
        <v>52.9</v>
      </c>
      <c r="DC229">
        <f>ROUND((ROUND(AT229*AG229,2)*1.15),1)</f>
        <v>0</v>
      </c>
    </row>
    <row r="230" spans="1:107" x14ac:dyDescent="0.2">
      <c r="A230">
        <f>ROW(Source!A424)</f>
        <v>424</v>
      </c>
      <c r="B230">
        <v>50210945</v>
      </c>
      <c r="C230">
        <v>50212124</v>
      </c>
      <c r="D230">
        <v>121548</v>
      </c>
      <c r="E230">
        <v>1</v>
      </c>
      <c r="F230">
        <v>1</v>
      </c>
      <c r="G230">
        <v>1</v>
      </c>
      <c r="H230">
        <v>1</v>
      </c>
      <c r="I230" t="s">
        <v>25</v>
      </c>
      <c r="J230" t="s">
        <v>3</v>
      </c>
      <c r="K230" t="s">
        <v>463</v>
      </c>
      <c r="L230">
        <v>608254</v>
      </c>
      <c r="N230">
        <v>1013</v>
      </c>
      <c r="O230" t="s">
        <v>464</v>
      </c>
      <c r="P230" t="s">
        <v>464</v>
      </c>
      <c r="Q230">
        <v>1</v>
      </c>
      <c r="W230">
        <v>0</v>
      </c>
      <c r="X230">
        <v>-185737400</v>
      </c>
      <c r="Y230">
        <v>1.2500000000000001E-2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1</v>
      </c>
      <c r="AJ230">
        <v>1</v>
      </c>
      <c r="AK230">
        <v>1</v>
      </c>
      <c r="AL230">
        <v>1</v>
      </c>
      <c r="AN230">
        <v>0</v>
      </c>
      <c r="AO230">
        <v>1</v>
      </c>
      <c r="AP230">
        <v>1</v>
      </c>
      <c r="AQ230">
        <v>0</v>
      </c>
      <c r="AR230">
        <v>0</v>
      </c>
      <c r="AS230" t="s">
        <v>3</v>
      </c>
      <c r="AT230">
        <v>0.01</v>
      </c>
      <c r="AU230" t="s">
        <v>11</v>
      </c>
      <c r="AV230">
        <v>2</v>
      </c>
      <c r="AW230">
        <v>2</v>
      </c>
      <c r="AX230">
        <v>50212134</v>
      </c>
      <c r="AY230">
        <v>1</v>
      </c>
      <c r="AZ230">
        <v>0</v>
      </c>
      <c r="BA230">
        <v>225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X230">
        <f>Y230*Source!I424</f>
        <v>1.7875E-3</v>
      </c>
      <c r="CY230">
        <f>AD230</f>
        <v>0</v>
      </c>
      <c r="CZ230">
        <f>AH230</f>
        <v>0</v>
      </c>
      <c r="DA230">
        <f>AL230</f>
        <v>1</v>
      </c>
      <c r="DB230">
        <f>ROUND((ROUND(AT230*CZ230,2)*1.25),1)</f>
        <v>0</v>
      </c>
      <c r="DC230">
        <f>ROUND((ROUND(AT230*AG230,2)*1.25),1)</f>
        <v>0</v>
      </c>
    </row>
    <row r="231" spans="1:107" x14ac:dyDescent="0.2">
      <c r="A231">
        <f>ROW(Source!A424)</f>
        <v>424</v>
      </c>
      <c r="B231">
        <v>50210945</v>
      </c>
      <c r="C231">
        <v>50212124</v>
      </c>
      <c r="D231">
        <v>45811426</v>
      </c>
      <c r="E231">
        <v>1</v>
      </c>
      <c r="F231">
        <v>1</v>
      </c>
      <c r="G231">
        <v>1</v>
      </c>
      <c r="H231">
        <v>2</v>
      </c>
      <c r="I231" t="s">
        <v>498</v>
      </c>
      <c r="J231" t="s">
        <v>499</v>
      </c>
      <c r="K231" t="s">
        <v>500</v>
      </c>
      <c r="L231">
        <v>45811227</v>
      </c>
      <c r="N231">
        <v>1013</v>
      </c>
      <c r="O231" t="s">
        <v>452</v>
      </c>
      <c r="P231" t="s">
        <v>452</v>
      </c>
      <c r="Q231">
        <v>1</v>
      </c>
      <c r="W231">
        <v>0</v>
      </c>
      <c r="X231">
        <v>-1615317198</v>
      </c>
      <c r="Y231">
        <v>1.2500000000000001E-2</v>
      </c>
      <c r="AA231">
        <v>0</v>
      </c>
      <c r="AB231">
        <v>89.81</v>
      </c>
      <c r="AC231">
        <v>9.8800000000000008</v>
      </c>
      <c r="AD231">
        <v>0</v>
      </c>
      <c r="AE231">
        <v>0</v>
      </c>
      <c r="AF231">
        <v>89.81</v>
      </c>
      <c r="AG231">
        <v>9.8800000000000008</v>
      </c>
      <c r="AH231">
        <v>0</v>
      </c>
      <c r="AI231">
        <v>1</v>
      </c>
      <c r="AJ231">
        <v>1</v>
      </c>
      <c r="AK231">
        <v>1</v>
      </c>
      <c r="AL231">
        <v>1</v>
      </c>
      <c r="AN231">
        <v>0</v>
      </c>
      <c r="AO231">
        <v>1</v>
      </c>
      <c r="AP231">
        <v>1</v>
      </c>
      <c r="AQ231">
        <v>0</v>
      </c>
      <c r="AR231">
        <v>0</v>
      </c>
      <c r="AS231" t="s">
        <v>3</v>
      </c>
      <c r="AT231">
        <v>0.01</v>
      </c>
      <c r="AU231" t="s">
        <v>11</v>
      </c>
      <c r="AV231">
        <v>0</v>
      </c>
      <c r="AW231">
        <v>2</v>
      </c>
      <c r="AX231">
        <v>50212135</v>
      </c>
      <c r="AY231">
        <v>1</v>
      </c>
      <c r="AZ231">
        <v>0</v>
      </c>
      <c r="BA231">
        <v>226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X231">
        <f>Y231*Source!I424</f>
        <v>1.7875E-3</v>
      </c>
      <c r="CY231">
        <f>AB231</f>
        <v>89.81</v>
      </c>
      <c r="CZ231">
        <f>AF231</f>
        <v>89.81</v>
      </c>
      <c r="DA231">
        <f>AJ231</f>
        <v>1</v>
      </c>
      <c r="DB231">
        <f>ROUND((ROUND(AT231*CZ231,2)*1.25),1)</f>
        <v>1.1000000000000001</v>
      </c>
      <c r="DC231">
        <f>ROUND((ROUND(AT231*AG231,2)*1.25),1)</f>
        <v>0.1</v>
      </c>
    </row>
    <row r="232" spans="1:107" x14ac:dyDescent="0.2">
      <c r="A232">
        <f>ROW(Source!A424)</f>
        <v>424</v>
      </c>
      <c r="B232">
        <v>50210945</v>
      </c>
      <c r="C232">
        <v>50212124</v>
      </c>
      <c r="D232">
        <v>45811450</v>
      </c>
      <c r="E232">
        <v>1</v>
      </c>
      <c r="F232">
        <v>1</v>
      </c>
      <c r="G232">
        <v>1</v>
      </c>
      <c r="H232">
        <v>2</v>
      </c>
      <c r="I232" t="s">
        <v>627</v>
      </c>
      <c r="J232" t="s">
        <v>628</v>
      </c>
      <c r="K232" t="s">
        <v>629</v>
      </c>
      <c r="L232">
        <v>45811227</v>
      </c>
      <c r="N232">
        <v>1013</v>
      </c>
      <c r="O232" t="s">
        <v>452</v>
      </c>
      <c r="P232" t="s">
        <v>452</v>
      </c>
      <c r="Q232">
        <v>1</v>
      </c>
      <c r="W232">
        <v>0</v>
      </c>
      <c r="X232">
        <v>-1501948987</v>
      </c>
      <c r="Y232">
        <v>1.2500000000000001E-2</v>
      </c>
      <c r="AA232">
        <v>0</v>
      </c>
      <c r="AB232">
        <v>1.7</v>
      </c>
      <c r="AC232">
        <v>0</v>
      </c>
      <c r="AD232">
        <v>0</v>
      </c>
      <c r="AE232">
        <v>0</v>
      </c>
      <c r="AF232">
        <v>1.7</v>
      </c>
      <c r="AG232">
        <v>0</v>
      </c>
      <c r="AH232">
        <v>0</v>
      </c>
      <c r="AI232">
        <v>1</v>
      </c>
      <c r="AJ232">
        <v>1</v>
      </c>
      <c r="AK232">
        <v>1</v>
      </c>
      <c r="AL232">
        <v>1</v>
      </c>
      <c r="AN232">
        <v>0</v>
      </c>
      <c r="AO232">
        <v>1</v>
      </c>
      <c r="AP232">
        <v>1</v>
      </c>
      <c r="AQ232">
        <v>0</v>
      </c>
      <c r="AR232">
        <v>0</v>
      </c>
      <c r="AS232" t="s">
        <v>3</v>
      </c>
      <c r="AT232">
        <v>0.01</v>
      </c>
      <c r="AU232" t="s">
        <v>11</v>
      </c>
      <c r="AV232">
        <v>0</v>
      </c>
      <c r="AW232">
        <v>2</v>
      </c>
      <c r="AX232">
        <v>50212136</v>
      </c>
      <c r="AY232">
        <v>1</v>
      </c>
      <c r="AZ232">
        <v>0</v>
      </c>
      <c r="BA232">
        <v>227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X232">
        <f>Y232*Source!I424</f>
        <v>1.7875E-3</v>
      </c>
      <c r="CY232">
        <f>AB232</f>
        <v>1.7</v>
      </c>
      <c r="CZ232">
        <f>AF232</f>
        <v>1.7</v>
      </c>
      <c r="DA232">
        <f>AJ232</f>
        <v>1</v>
      </c>
      <c r="DB232">
        <f>ROUND((ROUND(AT232*CZ232,2)*1.25),1)</f>
        <v>0</v>
      </c>
      <c r="DC232">
        <f>ROUND((ROUND(AT232*AG232,2)*1.25),1)</f>
        <v>0</v>
      </c>
    </row>
    <row r="233" spans="1:107" x14ac:dyDescent="0.2">
      <c r="A233">
        <f>ROW(Source!A424)</f>
        <v>424</v>
      </c>
      <c r="B233">
        <v>50210945</v>
      </c>
      <c r="C233">
        <v>50212124</v>
      </c>
      <c r="D233">
        <v>45813107</v>
      </c>
      <c r="E233">
        <v>1</v>
      </c>
      <c r="F233">
        <v>1</v>
      </c>
      <c r="G233">
        <v>1</v>
      </c>
      <c r="H233">
        <v>2</v>
      </c>
      <c r="I233" t="s">
        <v>630</v>
      </c>
      <c r="J233" t="s">
        <v>631</v>
      </c>
      <c r="K233" t="s">
        <v>632</v>
      </c>
      <c r="L233">
        <v>45811227</v>
      </c>
      <c r="N233">
        <v>1013</v>
      </c>
      <c r="O233" t="s">
        <v>452</v>
      </c>
      <c r="P233" t="s">
        <v>452</v>
      </c>
      <c r="Q233">
        <v>1</v>
      </c>
      <c r="W233">
        <v>0</v>
      </c>
      <c r="X233">
        <v>2095641441</v>
      </c>
      <c r="Y233">
        <v>1.4000000000000001</v>
      </c>
      <c r="AA233">
        <v>0</v>
      </c>
      <c r="AB233">
        <v>6.82</v>
      </c>
      <c r="AC233">
        <v>0</v>
      </c>
      <c r="AD233">
        <v>0</v>
      </c>
      <c r="AE233">
        <v>0</v>
      </c>
      <c r="AF233">
        <v>6.82</v>
      </c>
      <c r="AG233">
        <v>0</v>
      </c>
      <c r="AH233">
        <v>0</v>
      </c>
      <c r="AI233">
        <v>1</v>
      </c>
      <c r="AJ233">
        <v>1</v>
      </c>
      <c r="AK233">
        <v>1</v>
      </c>
      <c r="AL233">
        <v>1</v>
      </c>
      <c r="AN233">
        <v>0</v>
      </c>
      <c r="AO233">
        <v>1</v>
      </c>
      <c r="AP233">
        <v>1</v>
      </c>
      <c r="AQ233">
        <v>0</v>
      </c>
      <c r="AR233">
        <v>0</v>
      </c>
      <c r="AS233" t="s">
        <v>3</v>
      </c>
      <c r="AT233">
        <v>1.1200000000000001</v>
      </c>
      <c r="AU233" t="s">
        <v>11</v>
      </c>
      <c r="AV233">
        <v>0</v>
      </c>
      <c r="AW233">
        <v>2</v>
      </c>
      <c r="AX233">
        <v>50212137</v>
      </c>
      <c r="AY233">
        <v>1</v>
      </c>
      <c r="AZ233">
        <v>0</v>
      </c>
      <c r="BA233">
        <v>228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X233">
        <f>Y233*Source!I424</f>
        <v>0.20019999999999999</v>
      </c>
      <c r="CY233">
        <f>AB233</f>
        <v>6.82</v>
      </c>
      <c r="CZ233">
        <f>AF233</f>
        <v>6.82</v>
      </c>
      <c r="DA233">
        <f>AJ233</f>
        <v>1</v>
      </c>
      <c r="DB233">
        <f>ROUND((ROUND(AT233*CZ233,2)*1.25),1)</f>
        <v>9.6</v>
      </c>
      <c r="DC233">
        <f>ROUND((ROUND(AT233*AG233,2)*1.25),1)</f>
        <v>0</v>
      </c>
    </row>
    <row r="234" spans="1:107" x14ac:dyDescent="0.2">
      <c r="A234">
        <f>ROW(Source!A424)</f>
        <v>424</v>
      </c>
      <c r="B234">
        <v>50210945</v>
      </c>
      <c r="C234">
        <v>50212124</v>
      </c>
      <c r="D234">
        <v>45813321</v>
      </c>
      <c r="E234">
        <v>1</v>
      </c>
      <c r="F234">
        <v>1</v>
      </c>
      <c r="G234">
        <v>1</v>
      </c>
      <c r="H234">
        <v>2</v>
      </c>
      <c r="I234" t="s">
        <v>532</v>
      </c>
      <c r="J234" t="s">
        <v>533</v>
      </c>
      <c r="K234" t="s">
        <v>534</v>
      </c>
      <c r="L234">
        <v>45811227</v>
      </c>
      <c r="N234">
        <v>1013</v>
      </c>
      <c r="O234" t="s">
        <v>452</v>
      </c>
      <c r="P234" t="s">
        <v>452</v>
      </c>
      <c r="Q234">
        <v>1</v>
      </c>
      <c r="W234">
        <v>0</v>
      </c>
      <c r="X234">
        <v>771999048</v>
      </c>
      <c r="Y234">
        <v>1.2500000000000001E-2</v>
      </c>
      <c r="AA234">
        <v>0</v>
      </c>
      <c r="AB234">
        <v>86.55</v>
      </c>
      <c r="AC234">
        <v>0</v>
      </c>
      <c r="AD234">
        <v>0</v>
      </c>
      <c r="AE234">
        <v>0</v>
      </c>
      <c r="AF234">
        <v>86.55</v>
      </c>
      <c r="AG234">
        <v>0</v>
      </c>
      <c r="AH234">
        <v>0</v>
      </c>
      <c r="AI234">
        <v>1</v>
      </c>
      <c r="AJ234">
        <v>1</v>
      </c>
      <c r="AK234">
        <v>1</v>
      </c>
      <c r="AL234">
        <v>1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3</v>
      </c>
      <c r="AT234">
        <v>0.01</v>
      </c>
      <c r="AU234" t="s">
        <v>11</v>
      </c>
      <c r="AV234">
        <v>0</v>
      </c>
      <c r="AW234">
        <v>2</v>
      </c>
      <c r="AX234">
        <v>50212138</v>
      </c>
      <c r="AY234">
        <v>1</v>
      </c>
      <c r="AZ234">
        <v>0</v>
      </c>
      <c r="BA234">
        <v>229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X234">
        <f>Y234*Source!I424</f>
        <v>1.7875E-3</v>
      </c>
      <c r="CY234">
        <f>AB234</f>
        <v>86.55</v>
      </c>
      <c r="CZ234">
        <f>AF234</f>
        <v>86.55</v>
      </c>
      <c r="DA234">
        <f>AJ234</f>
        <v>1</v>
      </c>
      <c r="DB234">
        <f>ROUND((ROUND(AT234*CZ234,2)*1.25),1)</f>
        <v>1.1000000000000001</v>
      </c>
      <c r="DC234">
        <f>ROUND((ROUND(AT234*AG234,2)*1.25),1)</f>
        <v>0</v>
      </c>
    </row>
    <row r="235" spans="1:107" x14ac:dyDescent="0.2">
      <c r="A235">
        <f>ROW(Source!A424)</f>
        <v>424</v>
      </c>
      <c r="B235">
        <v>50210945</v>
      </c>
      <c r="C235">
        <v>50212124</v>
      </c>
      <c r="D235">
        <v>45830078</v>
      </c>
      <c r="E235">
        <v>1</v>
      </c>
      <c r="F235">
        <v>1</v>
      </c>
      <c r="G235">
        <v>1</v>
      </c>
      <c r="H235">
        <v>3</v>
      </c>
      <c r="I235" t="s">
        <v>633</v>
      </c>
      <c r="J235" t="s">
        <v>634</v>
      </c>
      <c r="K235" t="s">
        <v>635</v>
      </c>
      <c r="L235">
        <v>1348</v>
      </c>
      <c r="N235">
        <v>1009</v>
      </c>
      <c r="O235" t="s">
        <v>190</v>
      </c>
      <c r="P235" t="s">
        <v>190</v>
      </c>
      <c r="Q235">
        <v>1000</v>
      </c>
      <c r="W235">
        <v>0</v>
      </c>
      <c r="X235">
        <v>-1373180420</v>
      </c>
      <c r="Y235">
        <v>1.2E-2</v>
      </c>
      <c r="AA235">
        <v>14566.41</v>
      </c>
      <c r="AB235">
        <v>0</v>
      </c>
      <c r="AC235">
        <v>0</v>
      </c>
      <c r="AD235">
        <v>0</v>
      </c>
      <c r="AE235">
        <v>14566.41</v>
      </c>
      <c r="AF235">
        <v>0</v>
      </c>
      <c r="AG235">
        <v>0</v>
      </c>
      <c r="AH235">
        <v>0</v>
      </c>
      <c r="AI235">
        <v>1</v>
      </c>
      <c r="AJ235">
        <v>1</v>
      </c>
      <c r="AK235">
        <v>1</v>
      </c>
      <c r="AL235">
        <v>1</v>
      </c>
      <c r="AN235">
        <v>0</v>
      </c>
      <c r="AO235">
        <v>1</v>
      </c>
      <c r="AP235">
        <v>0</v>
      </c>
      <c r="AQ235">
        <v>0</v>
      </c>
      <c r="AR235">
        <v>0</v>
      </c>
      <c r="AS235" t="s">
        <v>3</v>
      </c>
      <c r="AT235">
        <v>1.2E-2</v>
      </c>
      <c r="AU235" t="s">
        <v>3</v>
      </c>
      <c r="AV235">
        <v>0</v>
      </c>
      <c r="AW235">
        <v>2</v>
      </c>
      <c r="AX235">
        <v>50212139</v>
      </c>
      <c r="AY235">
        <v>1</v>
      </c>
      <c r="AZ235">
        <v>0</v>
      </c>
      <c r="BA235">
        <v>230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X235">
        <f>Y235*Source!I424</f>
        <v>1.7159999999999999E-3</v>
      </c>
      <c r="CY235">
        <f>AA235</f>
        <v>14566.41</v>
      </c>
      <c r="CZ235">
        <f>AE235</f>
        <v>14566.41</v>
      </c>
      <c r="DA235">
        <f>AI235</f>
        <v>1</v>
      </c>
      <c r="DB235">
        <f>ROUND(ROUND(AT235*CZ235,2),1)</f>
        <v>174.8</v>
      </c>
      <c r="DC235">
        <f>ROUND(ROUND(AT235*AG235,2),1)</f>
        <v>0</v>
      </c>
    </row>
    <row r="236" spans="1:107" x14ac:dyDescent="0.2">
      <c r="A236">
        <f>ROW(Source!A424)</f>
        <v>424</v>
      </c>
      <c r="B236">
        <v>50210945</v>
      </c>
      <c r="C236">
        <v>50212124</v>
      </c>
      <c r="D236">
        <v>45830135</v>
      </c>
      <c r="E236">
        <v>1</v>
      </c>
      <c r="F236">
        <v>1</v>
      </c>
      <c r="G236">
        <v>1</v>
      </c>
      <c r="H236">
        <v>3</v>
      </c>
      <c r="I236" t="s">
        <v>636</v>
      </c>
      <c r="J236" t="s">
        <v>637</v>
      </c>
      <c r="K236" t="s">
        <v>638</v>
      </c>
      <c r="L236">
        <v>1348</v>
      </c>
      <c r="N236">
        <v>1009</v>
      </c>
      <c r="O236" t="s">
        <v>190</v>
      </c>
      <c r="P236" t="s">
        <v>190</v>
      </c>
      <c r="Q236">
        <v>1000</v>
      </c>
      <c r="W236">
        <v>0</v>
      </c>
      <c r="X236">
        <v>-873512064</v>
      </c>
      <c r="Y236">
        <v>2E-3</v>
      </c>
      <c r="AA236">
        <v>7123.57</v>
      </c>
      <c r="AB236">
        <v>0</v>
      </c>
      <c r="AC236">
        <v>0</v>
      </c>
      <c r="AD236">
        <v>0</v>
      </c>
      <c r="AE236">
        <v>7123.57</v>
      </c>
      <c r="AF236">
        <v>0</v>
      </c>
      <c r="AG236">
        <v>0</v>
      </c>
      <c r="AH236">
        <v>0</v>
      </c>
      <c r="AI236">
        <v>1</v>
      </c>
      <c r="AJ236">
        <v>1</v>
      </c>
      <c r="AK236">
        <v>1</v>
      </c>
      <c r="AL236">
        <v>1</v>
      </c>
      <c r="AN236">
        <v>0</v>
      </c>
      <c r="AO236">
        <v>1</v>
      </c>
      <c r="AP236">
        <v>0</v>
      </c>
      <c r="AQ236">
        <v>0</v>
      </c>
      <c r="AR236">
        <v>0</v>
      </c>
      <c r="AS236" t="s">
        <v>3</v>
      </c>
      <c r="AT236">
        <v>2E-3</v>
      </c>
      <c r="AU236" t="s">
        <v>3</v>
      </c>
      <c r="AV236">
        <v>0</v>
      </c>
      <c r="AW236">
        <v>2</v>
      </c>
      <c r="AX236">
        <v>50212140</v>
      </c>
      <c r="AY236">
        <v>1</v>
      </c>
      <c r="AZ236">
        <v>0</v>
      </c>
      <c r="BA236">
        <v>231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X236">
        <f>Y236*Source!I424</f>
        <v>2.8599999999999996E-4</v>
      </c>
      <c r="CY236">
        <f>AA236</f>
        <v>7123.57</v>
      </c>
      <c r="CZ236">
        <f>AE236</f>
        <v>7123.57</v>
      </c>
      <c r="DA236">
        <f>AI236</f>
        <v>1</v>
      </c>
      <c r="DB236">
        <f>ROUND(ROUND(AT236*CZ236,2),1)</f>
        <v>14.3</v>
      </c>
      <c r="DC236">
        <f>ROUND(ROUND(AT236*AG236,2),1)</f>
        <v>0</v>
      </c>
    </row>
    <row r="237" spans="1:107" x14ac:dyDescent="0.2">
      <c r="A237">
        <f>ROW(Source!A425)</f>
        <v>425</v>
      </c>
      <c r="B237">
        <v>50210945</v>
      </c>
      <c r="C237">
        <v>50212141</v>
      </c>
      <c r="D237">
        <v>45975106</v>
      </c>
      <c r="E237">
        <v>1</v>
      </c>
      <c r="F237">
        <v>1</v>
      </c>
      <c r="G237">
        <v>1</v>
      </c>
      <c r="H237">
        <v>1</v>
      </c>
      <c r="I237" t="s">
        <v>639</v>
      </c>
      <c r="J237" t="s">
        <v>3</v>
      </c>
      <c r="K237" t="s">
        <v>640</v>
      </c>
      <c r="L237">
        <v>1476</v>
      </c>
      <c r="N237">
        <v>1013</v>
      </c>
      <c r="O237" t="s">
        <v>447</v>
      </c>
      <c r="P237" t="s">
        <v>448</v>
      </c>
      <c r="Q237">
        <v>1</v>
      </c>
      <c r="W237">
        <v>0</v>
      </c>
      <c r="X237">
        <v>811010407</v>
      </c>
      <c r="Y237">
        <v>4.4044999999999996</v>
      </c>
      <c r="AA237">
        <v>0</v>
      </c>
      <c r="AB237">
        <v>0</v>
      </c>
      <c r="AC237">
        <v>0</v>
      </c>
      <c r="AD237">
        <v>7.38</v>
      </c>
      <c r="AE237">
        <v>0</v>
      </c>
      <c r="AF237">
        <v>0</v>
      </c>
      <c r="AG237">
        <v>0</v>
      </c>
      <c r="AH237">
        <v>7.38</v>
      </c>
      <c r="AI237">
        <v>1</v>
      </c>
      <c r="AJ237">
        <v>1</v>
      </c>
      <c r="AK237">
        <v>1</v>
      </c>
      <c r="AL237">
        <v>1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</v>
      </c>
      <c r="AT237">
        <v>3.83</v>
      </c>
      <c r="AU237" t="s">
        <v>12</v>
      </c>
      <c r="AV237">
        <v>1</v>
      </c>
      <c r="AW237">
        <v>2</v>
      </c>
      <c r="AX237">
        <v>50212150</v>
      </c>
      <c r="AY237">
        <v>1</v>
      </c>
      <c r="AZ237">
        <v>0</v>
      </c>
      <c r="BA237">
        <v>232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X237">
        <f>Y237*Source!I425</f>
        <v>0.62984349999999989</v>
      </c>
      <c r="CY237">
        <f>AD237</f>
        <v>7.38</v>
      </c>
      <c r="CZ237">
        <f>AH237</f>
        <v>7.38</v>
      </c>
      <c r="DA237">
        <f>AL237</f>
        <v>1</v>
      </c>
      <c r="DB237">
        <f>ROUND((ROUND(AT237*CZ237,2)*1.15),1)</f>
        <v>32.5</v>
      </c>
      <c r="DC237">
        <f>ROUND((ROUND(AT237*AG237,2)*1.15),1)</f>
        <v>0</v>
      </c>
    </row>
    <row r="238" spans="1:107" x14ac:dyDescent="0.2">
      <c r="A238">
        <f>ROW(Source!A425)</f>
        <v>425</v>
      </c>
      <c r="B238">
        <v>50210945</v>
      </c>
      <c r="C238">
        <v>50212141</v>
      </c>
      <c r="D238">
        <v>121548</v>
      </c>
      <c r="E238">
        <v>1</v>
      </c>
      <c r="F238">
        <v>1</v>
      </c>
      <c r="G238">
        <v>1</v>
      </c>
      <c r="H238">
        <v>1</v>
      </c>
      <c r="I238" t="s">
        <v>25</v>
      </c>
      <c r="J238" t="s">
        <v>3</v>
      </c>
      <c r="K238" t="s">
        <v>463</v>
      </c>
      <c r="L238">
        <v>608254</v>
      </c>
      <c r="N238">
        <v>1013</v>
      </c>
      <c r="O238" t="s">
        <v>464</v>
      </c>
      <c r="P238" t="s">
        <v>464</v>
      </c>
      <c r="Q238">
        <v>1</v>
      </c>
      <c r="W238">
        <v>0</v>
      </c>
      <c r="X238">
        <v>-185737400</v>
      </c>
      <c r="Y238">
        <v>1.2500000000000001E-2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1</v>
      </c>
      <c r="AJ238">
        <v>1</v>
      </c>
      <c r="AK238">
        <v>1</v>
      </c>
      <c r="AL238">
        <v>1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</v>
      </c>
      <c r="AT238">
        <v>0.01</v>
      </c>
      <c r="AU238" t="s">
        <v>11</v>
      </c>
      <c r="AV238">
        <v>2</v>
      </c>
      <c r="AW238">
        <v>2</v>
      </c>
      <c r="AX238">
        <v>50212151</v>
      </c>
      <c r="AY238">
        <v>1</v>
      </c>
      <c r="AZ238">
        <v>0</v>
      </c>
      <c r="BA238">
        <v>233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X238">
        <f>Y238*Source!I425</f>
        <v>1.7875E-3</v>
      </c>
      <c r="CY238">
        <f>AD238</f>
        <v>0</v>
      </c>
      <c r="CZ238">
        <f>AH238</f>
        <v>0</v>
      </c>
      <c r="DA238">
        <f>AL238</f>
        <v>1</v>
      </c>
      <c r="DB238">
        <f>ROUND((ROUND(AT238*CZ238,2)*1.25),1)</f>
        <v>0</v>
      </c>
      <c r="DC238">
        <f>ROUND((ROUND(AT238*AG238,2)*1.25),1)</f>
        <v>0</v>
      </c>
    </row>
    <row r="239" spans="1:107" x14ac:dyDescent="0.2">
      <c r="A239">
        <f>ROW(Source!A425)</f>
        <v>425</v>
      </c>
      <c r="B239">
        <v>50210945</v>
      </c>
      <c r="C239">
        <v>50212141</v>
      </c>
      <c r="D239">
        <v>45811426</v>
      </c>
      <c r="E239">
        <v>1</v>
      </c>
      <c r="F239">
        <v>1</v>
      </c>
      <c r="G239">
        <v>1</v>
      </c>
      <c r="H239">
        <v>2</v>
      </c>
      <c r="I239" t="s">
        <v>498</v>
      </c>
      <c r="J239" t="s">
        <v>499</v>
      </c>
      <c r="K239" t="s">
        <v>500</v>
      </c>
      <c r="L239">
        <v>45811227</v>
      </c>
      <c r="N239">
        <v>1013</v>
      </c>
      <c r="O239" t="s">
        <v>452</v>
      </c>
      <c r="P239" t="s">
        <v>452</v>
      </c>
      <c r="Q239">
        <v>1</v>
      </c>
      <c r="W239">
        <v>0</v>
      </c>
      <c r="X239">
        <v>-1615317198</v>
      </c>
      <c r="Y239">
        <v>1.2500000000000001E-2</v>
      </c>
      <c r="AA239">
        <v>0</v>
      </c>
      <c r="AB239">
        <v>89.81</v>
      </c>
      <c r="AC239">
        <v>9.8800000000000008</v>
      </c>
      <c r="AD239">
        <v>0</v>
      </c>
      <c r="AE239">
        <v>0</v>
      </c>
      <c r="AF239">
        <v>89.81</v>
      </c>
      <c r="AG239">
        <v>9.8800000000000008</v>
      </c>
      <c r="AH239">
        <v>0</v>
      </c>
      <c r="AI239">
        <v>1</v>
      </c>
      <c r="AJ239">
        <v>1</v>
      </c>
      <c r="AK239">
        <v>1</v>
      </c>
      <c r="AL239">
        <v>1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3</v>
      </c>
      <c r="AT239">
        <v>0.01</v>
      </c>
      <c r="AU239" t="s">
        <v>11</v>
      </c>
      <c r="AV239">
        <v>0</v>
      </c>
      <c r="AW239">
        <v>2</v>
      </c>
      <c r="AX239">
        <v>50212152</v>
      </c>
      <c r="AY239">
        <v>1</v>
      </c>
      <c r="AZ239">
        <v>0</v>
      </c>
      <c r="BA239">
        <v>234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X239">
        <f>Y239*Source!I425</f>
        <v>1.7875E-3</v>
      </c>
      <c r="CY239">
        <f>AB239</f>
        <v>89.81</v>
      </c>
      <c r="CZ239">
        <f>AF239</f>
        <v>89.81</v>
      </c>
      <c r="DA239">
        <f>AJ239</f>
        <v>1</v>
      </c>
      <c r="DB239">
        <f>ROUND((ROUND(AT239*CZ239,2)*1.25),1)</f>
        <v>1.1000000000000001</v>
      </c>
      <c r="DC239">
        <f>ROUND((ROUND(AT239*AG239,2)*1.25),1)</f>
        <v>0.1</v>
      </c>
    </row>
    <row r="240" spans="1:107" x14ac:dyDescent="0.2">
      <c r="A240">
        <f>ROW(Source!A425)</f>
        <v>425</v>
      </c>
      <c r="B240">
        <v>50210945</v>
      </c>
      <c r="C240">
        <v>50212141</v>
      </c>
      <c r="D240">
        <v>45811450</v>
      </c>
      <c r="E240">
        <v>1</v>
      </c>
      <c r="F240">
        <v>1</v>
      </c>
      <c r="G240">
        <v>1</v>
      </c>
      <c r="H240">
        <v>2</v>
      </c>
      <c r="I240" t="s">
        <v>627</v>
      </c>
      <c r="J240" t="s">
        <v>628</v>
      </c>
      <c r="K240" t="s">
        <v>629</v>
      </c>
      <c r="L240">
        <v>45811227</v>
      </c>
      <c r="N240">
        <v>1013</v>
      </c>
      <c r="O240" t="s">
        <v>452</v>
      </c>
      <c r="P240" t="s">
        <v>452</v>
      </c>
      <c r="Q240">
        <v>1</v>
      </c>
      <c r="W240">
        <v>0</v>
      </c>
      <c r="X240">
        <v>-1501948987</v>
      </c>
      <c r="Y240">
        <v>1.2500000000000001E-2</v>
      </c>
      <c r="AA240">
        <v>0</v>
      </c>
      <c r="AB240">
        <v>1.7</v>
      </c>
      <c r="AC240">
        <v>0</v>
      </c>
      <c r="AD240">
        <v>0</v>
      </c>
      <c r="AE240">
        <v>0</v>
      </c>
      <c r="AF240">
        <v>1.7</v>
      </c>
      <c r="AG240">
        <v>0</v>
      </c>
      <c r="AH240">
        <v>0</v>
      </c>
      <c r="AI240">
        <v>1</v>
      </c>
      <c r="AJ240">
        <v>1</v>
      </c>
      <c r="AK240">
        <v>1</v>
      </c>
      <c r="AL240">
        <v>1</v>
      </c>
      <c r="AN240">
        <v>0</v>
      </c>
      <c r="AO240">
        <v>1</v>
      </c>
      <c r="AP240">
        <v>1</v>
      </c>
      <c r="AQ240">
        <v>0</v>
      </c>
      <c r="AR240">
        <v>0</v>
      </c>
      <c r="AS240" t="s">
        <v>3</v>
      </c>
      <c r="AT240">
        <v>0.01</v>
      </c>
      <c r="AU240" t="s">
        <v>11</v>
      </c>
      <c r="AV240">
        <v>0</v>
      </c>
      <c r="AW240">
        <v>2</v>
      </c>
      <c r="AX240">
        <v>50212153</v>
      </c>
      <c r="AY240">
        <v>1</v>
      </c>
      <c r="AZ240">
        <v>0</v>
      </c>
      <c r="BA240">
        <v>235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X240">
        <f>Y240*Source!I425</f>
        <v>1.7875E-3</v>
      </c>
      <c r="CY240">
        <f>AB240</f>
        <v>1.7</v>
      </c>
      <c r="CZ240">
        <f>AF240</f>
        <v>1.7</v>
      </c>
      <c r="DA240">
        <f>AJ240</f>
        <v>1</v>
      </c>
      <c r="DB240">
        <f>ROUND((ROUND(AT240*CZ240,2)*1.25),1)</f>
        <v>0</v>
      </c>
      <c r="DC240">
        <f>ROUND((ROUND(AT240*AG240,2)*1.25),1)</f>
        <v>0</v>
      </c>
    </row>
    <row r="241" spans="1:107" x14ac:dyDescent="0.2">
      <c r="A241">
        <f>ROW(Source!A425)</f>
        <v>425</v>
      </c>
      <c r="B241">
        <v>50210945</v>
      </c>
      <c r="C241">
        <v>50212141</v>
      </c>
      <c r="D241">
        <v>45813107</v>
      </c>
      <c r="E241">
        <v>1</v>
      </c>
      <c r="F241">
        <v>1</v>
      </c>
      <c r="G241">
        <v>1</v>
      </c>
      <c r="H241">
        <v>2</v>
      </c>
      <c r="I241" t="s">
        <v>630</v>
      </c>
      <c r="J241" t="s">
        <v>631</v>
      </c>
      <c r="K241" t="s">
        <v>632</v>
      </c>
      <c r="L241">
        <v>45811227</v>
      </c>
      <c r="N241">
        <v>1013</v>
      </c>
      <c r="O241" t="s">
        <v>452</v>
      </c>
      <c r="P241" t="s">
        <v>452</v>
      </c>
      <c r="Q241">
        <v>1</v>
      </c>
      <c r="W241">
        <v>0</v>
      </c>
      <c r="X241">
        <v>2095641441</v>
      </c>
      <c r="Y241">
        <v>0.8125</v>
      </c>
      <c r="AA241">
        <v>0</v>
      </c>
      <c r="AB241">
        <v>6.82</v>
      </c>
      <c r="AC241">
        <v>0</v>
      </c>
      <c r="AD241">
        <v>0</v>
      </c>
      <c r="AE241">
        <v>0</v>
      </c>
      <c r="AF241">
        <v>6.82</v>
      </c>
      <c r="AG241">
        <v>0</v>
      </c>
      <c r="AH241">
        <v>0</v>
      </c>
      <c r="AI241">
        <v>1</v>
      </c>
      <c r="AJ241">
        <v>1</v>
      </c>
      <c r="AK241">
        <v>1</v>
      </c>
      <c r="AL241">
        <v>1</v>
      </c>
      <c r="AN241">
        <v>0</v>
      </c>
      <c r="AO241">
        <v>1</v>
      </c>
      <c r="AP241">
        <v>1</v>
      </c>
      <c r="AQ241">
        <v>0</v>
      </c>
      <c r="AR241">
        <v>0</v>
      </c>
      <c r="AS241" t="s">
        <v>3</v>
      </c>
      <c r="AT241">
        <v>0.65</v>
      </c>
      <c r="AU241" t="s">
        <v>11</v>
      </c>
      <c r="AV241">
        <v>0</v>
      </c>
      <c r="AW241">
        <v>2</v>
      </c>
      <c r="AX241">
        <v>50212154</v>
      </c>
      <c r="AY241">
        <v>1</v>
      </c>
      <c r="AZ241">
        <v>0</v>
      </c>
      <c r="BA241">
        <v>236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X241">
        <f>Y241*Source!I425</f>
        <v>0.11618749999999999</v>
      </c>
      <c r="CY241">
        <f>AB241</f>
        <v>6.82</v>
      </c>
      <c r="CZ241">
        <f>AF241</f>
        <v>6.82</v>
      </c>
      <c r="DA241">
        <f>AJ241</f>
        <v>1</v>
      </c>
      <c r="DB241">
        <f>ROUND((ROUND(AT241*CZ241,2)*1.25),1)</f>
        <v>5.5</v>
      </c>
      <c r="DC241">
        <f>ROUND((ROUND(AT241*AG241,2)*1.25),1)</f>
        <v>0</v>
      </c>
    </row>
    <row r="242" spans="1:107" x14ac:dyDescent="0.2">
      <c r="A242">
        <f>ROW(Source!A425)</f>
        <v>425</v>
      </c>
      <c r="B242">
        <v>50210945</v>
      </c>
      <c r="C242">
        <v>50212141</v>
      </c>
      <c r="D242">
        <v>45813321</v>
      </c>
      <c r="E242">
        <v>1</v>
      </c>
      <c r="F242">
        <v>1</v>
      </c>
      <c r="G242">
        <v>1</v>
      </c>
      <c r="H242">
        <v>2</v>
      </c>
      <c r="I242" t="s">
        <v>532</v>
      </c>
      <c r="J242" t="s">
        <v>533</v>
      </c>
      <c r="K242" t="s">
        <v>534</v>
      </c>
      <c r="L242">
        <v>45811227</v>
      </c>
      <c r="N242">
        <v>1013</v>
      </c>
      <c r="O242" t="s">
        <v>452</v>
      </c>
      <c r="P242" t="s">
        <v>452</v>
      </c>
      <c r="Q242">
        <v>1</v>
      </c>
      <c r="W242">
        <v>0</v>
      </c>
      <c r="X242">
        <v>771999048</v>
      </c>
      <c r="Y242">
        <v>1.2500000000000001E-2</v>
      </c>
      <c r="AA242">
        <v>0</v>
      </c>
      <c r="AB242">
        <v>86.55</v>
      </c>
      <c r="AC242">
        <v>0</v>
      </c>
      <c r="AD242">
        <v>0</v>
      </c>
      <c r="AE242">
        <v>0</v>
      </c>
      <c r="AF242">
        <v>86.55</v>
      </c>
      <c r="AG242">
        <v>0</v>
      </c>
      <c r="AH242">
        <v>0</v>
      </c>
      <c r="AI242">
        <v>1</v>
      </c>
      <c r="AJ242">
        <v>1</v>
      </c>
      <c r="AK242">
        <v>1</v>
      </c>
      <c r="AL242">
        <v>1</v>
      </c>
      <c r="AN242">
        <v>0</v>
      </c>
      <c r="AO242">
        <v>1</v>
      </c>
      <c r="AP242">
        <v>1</v>
      </c>
      <c r="AQ242">
        <v>0</v>
      </c>
      <c r="AR242">
        <v>0</v>
      </c>
      <c r="AS242" t="s">
        <v>3</v>
      </c>
      <c r="AT242">
        <v>0.01</v>
      </c>
      <c r="AU242" t="s">
        <v>11</v>
      </c>
      <c r="AV242">
        <v>0</v>
      </c>
      <c r="AW242">
        <v>2</v>
      </c>
      <c r="AX242">
        <v>50212155</v>
      </c>
      <c r="AY242">
        <v>1</v>
      </c>
      <c r="AZ242">
        <v>0</v>
      </c>
      <c r="BA242">
        <v>237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X242">
        <f>Y242*Source!I425</f>
        <v>1.7875E-3</v>
      </c>
      <c r="CY242">
        <f>AB242</f>
        <v>86.55</v>
      </c>
      <c r="CZ242">
        <f>AF242</f>
        <v>86.55</v>
      </c>
      <c r="DA242">
        <f>AJ242</f>
        <v>1</v>
      </c>
      <c r="DB242">
        <f>ROUND((ROUND(AT242*CZ242,2)*1.25),1)</f>
        <v>1.1000000000000001</v>
      </c>
      <c r="DC242">
        <f>ROUND((ROUND(AT242*AG242,2)*1.25),1)</f>
        <v>0</v>
      </c>
    </row>
    <row r="243" spans="1:107" x14ac:dyDescent="0.2">
      <c r="A243">
        <f>ROW(Source!A425)</f>
        <v>425</v>
      </c>
      <c r="B243">
        <v>50210945</v>
      </c>
      <c r="C243">
        <v>50212141</v>
      </c>
      <c r="D243">
        <v>45815764</v>
      </c>
      <c r="E243">
        <v>1</v>
      </c>
      <c r="F243">
        <v>1</v>
      </c>
      <c r="G243">
        <v>1</v>
      </c>
      <c r="H243">
        <v>3</v>
      </c>
      <c r="I243" t="s">
        <v>641</v>
      </c>
      <c r="J243" t="s">
        <v>642</v>
      </c>
      <c r="K243" t="s">
        <v>643</v>
      </c>
      <c r="L243">
        <v>1348</v>
      </c>
      <c r="N243">
        <v>1009</v>
      </c>
      <c r="O243" t="s">
        <v>190</v>
      </c>
      <c r="P243" t="s">
        <v>190</v>
      </c>
      <c r="Q243">
        <v>1000</v>
      </c>
      <c r="W243">
        <v>0</v>
      </c>
      <c r="X243">
        <v>-1714998041</v>
      </c>
      <c r="Y243">
        <v>1.4E-3</v>
      </c>
      <c r="AA243">
        <v>6179.8</v>
      </c>
      <c r="AB243">
        <v>0</v>
      </c>
      <c r="AC243">
        <v>0</v>
      </c>
      <c r="AD243">
        <v>0</v>
      </c>
      <c r="AE243">
        <v>6179.8</v>
      </c>
      <c r="AF243">
        <v>0</v>
      </c>
      <c r="AG243">
        <v>0</v>
      </c>
      <c r="AH243">
        <v>0</v>
      </c>
      <c r="AI243">
        <v>1</v>
      </c>
      <c r="AJ243">
        <v>1</v>
      </c>
      <c r="AK243">
        <v>1</v>
      </c>
      <c r="AL243">
        <v>1</v>
      </c>
      <c r="AN243">
        <v>0</v>
      </c>
      <c r="AO243">
        <v>1</v>
      </c>
      <c r="AP243">
        <v>0</v>
      </c>
      <c r="AQ243">
        <v>0</v>
      </c>
      <c r="AR243">
        <v>0</v>
      </c>
      <c r="AS243" t="s">
        <v>3</v>
      </c>
      <c r="AT243">
        <v>1.4E-3</v>
      </c>
      <c r="AU243" t="s">
        <v>3</v>
      </c>
      <c r="AV243">
        <v>0</v>
      </c>
      <c r="AW243">
        <v>2</v>
      </c>
      <c r="AX243">
        <v>50212156</v>
      </c>
      <c r="AY243">
        <v>1</v>
      </c>
      <c r="AZ243">
        <v>0</v>
      </c>
      <c r="BA243">
        <v>238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X243">
        <f>Y243*Source!I425</f>
        <v>2.0019999999999999E-4</v>
      </c>
      <c r="CY243">
        <f>AA243</f>
        <v>6179.8</v>
      </c>
      <c r="CZ243">
        <f>AE243</f>
        <v>6179.8</v>
      </c>
      <c r="DA243">
        <f>AI243</f>
        <v>1</v>
      </c>
      <c r="DB243">
        <f>ROUND(ROUND(AT243*CZ243,2),1)</f>
        <v>8.6999999999999993</v>
      </c>
      <c r="DC243">
        <f>ROUND(ROUND(AT243*AG243,2),1)</f>
        <v>0</v>
      </c>
    </row>
    <row r="244" spans="1:107" x14ac:dyDescent="0.2">
      <c r="A244">
        <f>ROW(Source!A425)</f>
        <v>425</v>
      </c>
      <c r="B244">
        <v>50210945</v>
      </c>
      <c r="C244">
        <v>50212141</v>
      </c>
      <c r="D244">
        <v>45830315</v>
      </c>
      <c r="E244">
        <v>1</v>
      </c>
      <c r="F244">
        <v>1</v>
      </c>
      <c r="G244">
        <v>1</v>
      </c>
      <c r="H244">
        <v>3</v>
      </c>
      <c r="I244" t="s">
        <v>644</v>
      </c>
      <c r="J244" t="s">
        <v>645</v>
      </c>
      <c r="K244" t="s">
        <v>646</v>
      </c>
      <c r="L244">
        <v>1348</v>
      </c>
      <c r="N244">
        <v>1009</v>
      </c>
      <c r="O244" t="s">
        <v>190</v>
      </c>
      <c r="P244" t="s">
        <v>190</v>
      </c>
      <c r="Q244">
        <v>1000</v>
      </c>
      <c r="W244">
        <v>0</v>
      </c>
      <c r="X244">
        <v>-1999880210</v>
      </c>
      <c r="Y244">
        <v>1.9E-2</v>
      </c>
      <c r="AA244">
        <v>14117.37</v>
      </c>
      <c r="AB244">
        <v>0</v>
      </c>
      <c r="AC244">
        <v>0</v>
      </c>
      <c r="AD244">
        <v>0</v>
      </c>
      <c r="AE244">
        <v>14117.37</v>
      </c>
      <c r="AF244">
        <v>0</v>
      </c>
      <c r="AG244">
        <v>0</v>
      </c>
      <c r="AH244">
        <v>0</v>
      </c>
      <c r="AI244">
        <v>1</v>
      </c>
      <c r="AJ244">
        <v>1</v>
      </c>
      <c r="AK244">
        <v>1</v>
      </c>
      <c r="AL244">
        <v>1</v>
      </c>
      <c r="AN244">
        <v>0</v>
      </c>
      <c r="AO244">
        <v>1</v>
      </c>
      <c r="AP244">
        <v>0</v>
      </c>
      <c r="AQ244">
        <v>0</v>
      </c>
      <c r="AR244">
        <v>0</v>
      </c>
      <c r="AS244" t="s">
        <v>3</v>
      </c>
      <c r="AT244">
        <v>1.9E-2</v>
      </c>
      <c r="AU244" t="s">
        <v>3</v>
      </c>
      <c r="AV244">
        <v>0</v>
      </c>
      <c r="AW244">
        <v>2</v>
      </c>
      <c r="AX244">
        <v>50212157</v>
      </c>
      <c r="AY244">
        <v>1</v>
      </c>
      <c r="AZ244">
        <v>0</v>
      </c>
      <c r="BA244">
        <v>239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X244">
        <f>Y244*Source!I425</f>
        <v>2.7169999999999998E-3</v>
      </c>
      <c r="CY244">
        <f>AA244</f>
        <v>14117.37</v>
      </c>
      <c r="CZ244">
        <f>AE244</f>
        <v>14117.37</v>
      </c>
      <c r="DA244">
        <f>AI244</f>
        <v>1</v>
      </c>
      <c r="DB244">
        <f>ROUND(ROUND(AT244*CZ244,2),1)</f>
        <v>268.2</v>
      </c>
      <c r="DC244">
        <f>ROUND(ROUND(AT244*AG244,2),1)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23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50211589</v>
      </c>
      <c r="C1">
        <v>50211586</v>
      </c>
      <c r="D1">
        <v>45980148</v>
      </c>
      <c r="E1">
        <v>1</v>
      </c>
      <c r="F1">
        <v>1</v>
      </c>
      <c r="G1">
        <v>1</v>
      </c>
      <c r="H1">
        <v>1</v>
      </c>
      <c r="I1" t="s">
        <v>445</v>
      </c>
      <c r="J1" t="s">
        <v>3</v>
      </c>
      <c r="K1" t="s">
        <v>446</v>
      </c>
      <c r="L1">
        <v>1476</v>
      </c>
      <c r="N1">
        <v>1013</v>
      </c>
      <c r="O1" t="s">
        <v>447</v>
      </c>
      <c r="P1" t="s">
        <v>448</v>
      </c>
      <c r="Q1">
        <v>1</v>
      </c>
      <c r="X1">
        <v>2.97</v>
      </c>
      <c r="Y1">
        <v>0</v>
      </c>
      <c r="Z1">
        <v>0</v>
      </c>
      <c r="AA1">
        <v>0</v>
      </c>
      <c r="AB1">
        <v>6.82</v>
      </c>
      <c r="AC1">
        <v>0</v>
      </c>
      <c r="AD1">
        <v>1</v>
      </c>
      <c r="AE1">
        <v>1</v>
      </c>
      <c r="AF1" t="s">
        <v>3</v>
      </c>
      <c r="AG1">
        <v>2.97</v>
      </c>
      <c r="AH1">
        <v>2</v>
      </c>
      <c r="AI1">
        <v>50211587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ROW(Source!A32)</f>
        <v>32</v>
      </c>
      <c r="B2">
        <v>50211590</v>
      </c>
      <c r="C2">
        <v>50211586</v>
      </c>
      <c r="D2">
        <v>45813058</v>
      </c>
      <c r="E2">
        <v>1</v>
      </c>
      <c r="F2">
        <v>1</v>
      </c>
      <c r="G2">
        <v>1</v>
      </c>
      <c r="H2">
        <v>2</v>
      </c>
      <c r="I2" t="s">
        <v>449</v>
      </c>
      <c r="J2" t="s">
        <v>450</v>
      </c>
      <c r="K2" t="s">
        <v>451</v>
      </c>
      <c r="L2">
        <v>45811227</v>
      </c>
      <c r="N2">
        <v>1013</v>
      </c>
      <c r="O2" t="s">
        <v>452</v>
      </c>
      <c r="P2" t="s">
        <v>452</v>
      </c>
      <c r="Q2">
        <v>1</v>
      </c>
      <c r="X2">
        <v>2.38</v>
      </c>
      <c r="Y2">
        <v>0</v>
      </c>
      <c r="Z2">
        <v>5.09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2.38</v>
      </c>
      <c r="AH2">
        <v>2</v>
      </c>
      <c r="AI2">
        <v>50211588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ROW(Source!A33)</f>
        <v>33</v>
      </c>
      <c r="B3">
        <v>50211593</v>
      </c>
      <c r="C3">
        <v>50211591</v>
      </c>
      <c r="D3">
        <v>45975178</v>
      </c>
      <c r="E3">
        <v>1</v>
      </c>
      <c r="F3">
        <v>1</v>
      </c>
      <c r="G3">
        <v>1</v>
      </c>
      <c r="H3">
        <v>1</v>
      </c>
      <c r="I3" t="s">
        <v>453</v>
      </c>
      <c r="J3" t="s">
        <v>3</v>
      </c>
      <c r="K3" t="s">
        <v>454</v>
      </c>
      <c r="L3">
        <v>1476</v>
      </c>
      <c r="N3">
        <v>1013</v>
      </c>
      <c r="O3" t="s">
        <v>447</v>
      </c>
      <c r="P3" t="s">
        <v>448</v>
      </c>
      <c r="Q3">
        <v>1</v>
      </c>
      <c r="X3">
        <v>75.8</v>
      </c>
      <c r="Y3">
        <v>0</v>
      </c>
      <c r="Z3">
        <v>0</v>
      </c>
      <c r="AA3">
        <v>0</v>
      </c>
      <c r="AB3">
        <v>6.35</v>
      </c>
      <c r="AC3">
        <v>0</v>
      </c>
      <c r="AD3">
        <v>1</v>
      </c>
      <c r="AE3">
        <v>1</v>
      </c>
      <c r="AF3" t="s">
        <v>3</v>
      </c>
      <c r="AG3">
        <v>75.8</v>
      </c>
      <c r="AH3">
        <v>2</v>
      </c>
      <c r="AI3">
        <v>50211592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ROW(Source!A36)</f>
        <v>36</v>
      </c>
      <c r="B4">
        <v>50358957</v>
      </c>
      <c r="C4">
        <v>50358956</v>
      </c>
      <c r="D4">
        <v>45968655</v>
      </c>
      <c r="E4">
        <v>1</v>
      </c>
      <c r="F4">
        <v>1</v>
      </c>
      <c r="G4">
        <v>1</v>
      </c>
      <c r="H4">
        <v>1</v>
      </c>
      <c r="I4" t="s">
        <v>455</v>
      </c>
      <c r="J4" t="s">
        <v>3</v>
      </c>
      <c r="K4" t="s">
        <v>456</v>
      </c>
      <c r="L4">
        <v>1476</v>
      </c>
      <c r="N4">
        <v>1013</v>
      </c>
      <c r="O4" t="s">
        <v>447</v>
      </c>
      <c r="P4" t="s">
        <v>448</v>
      </c>
      <c r="Q4">
        <v>1</v>
      </c>
      <c r="X4">
        <v>9.74</v>
      </c>
      <c r="Y4">
        <v>0</v>
      </c>
      <c r="Z4">
        <v>0</v>
      </c>
      <c r="AA4">
        <v>0</v>
      </c>
      <c r="AB4">
        <v>6.94</v>
      </c>
      <c r="AC4">
        <v>0</v>
      </c>
      <c r="AD4">
        <v>1</v>
      </c>
      <c r="AE4">
        <v>1</v>
      </c>
      <c r="AF4" t="s">
        <v>3</v>
      </c>
      <c r="AG4">
        <v>9.74</v>
      </c>
      <c r="AH4">
        <v>2</v>
      </c>
      <c r="AI4">
        <v>50358957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ROW(Source!A36)</f>
        <v>36</v>
      </c>
      <c r="B5">
        <v>50358958</v>
      </c>
      <c r="C5">
        <v>50358956</v>
      </c>
      <c r="D5">
        <v>45811604</v>
      </c>
      <c r="E5">
        <v>1</v>
      </c>
      <c r="F5">
        <v>1</v>
      </c>
      <c r="G5">
        <v>1</v>
      </c>
      <c r="H5">
        <v>2</v>
      </c>
      <c r="I5" t="s">
        <v>457</v>
      </c>
      <c r="J5" t="s">
        <v>458</v>
      </c>
      <c r="K5" t="s">
        <v>459</v>
      </c>
      <c r="L5">
        <v>45811227</v>
      </c>
      <c r="N5">
        <v>1013</v>
      </c>
      <c r="O5" t="s">
        <v>452</v>
      </c>
      <c r="P5" t="s">
        <v>452</v>
      </c>
      <c r="Q5">
        <v>1</v>
      </c>
      <c r="X5">
        <v>4.53</v>
      </c>
      <c r="Y5">
        <v>0</v>
      </c>
      <c r="Z5">
        <v>32.5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4.53</v>
      </c>
      <c r="AH5">
        <v>2</v>
      </c>
      <c r="AI5">
        <v>50358958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ROW(Source!A36)</f>
        <v>36</v>
      </c>
      <c r="B6">
        <v>50358959</v>
      </c>
      <c r="C6">
        <v>50358956</v>
      </c>
      <c r="D6">
        <v>45813004</v>
      </c>
      <c r="E6">
        <v>1</v>
      </c>
      <c r="F6">
        <v>1</v>
      </c>
      <c r="G6">
        <v>1</v>
      </c>
      <c r="H6">
        <v>2</v>
      </c>
      <c r="I6" t="s">
        <v>460</v>
      </c>
      <c r="J6" t="s">
        <v>461</v>
      </c>
      <c r="K6" t="s">
        <v>462</v>
      </c>
      <c r="L6">
        <v>45811227</v>
      </c>
      <c r="N6">
        <v>1013</v>
      </c>
      <c r="O6" t="s">
        <v>452</v>
      </c>
      <c r="P6" t="s">
        <v>452</v>
      </c>
      <c r="Q6">
        <v>1</v>
      </c>
      <c r="X6">
        <v>9.06</v>
      </c>
      <c r="Y6">
        <v>0</v>
      </c>
      <c r="Z6">
        <v>1.53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9.06</v>
      </c>
      <c r="AH6">
        <v>2</v>
      </c>
      <c r="AI6">
        <v>50358959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ROW(Source!A37)</f>
        <v>37</v>
      </c>
      <c r="B7">
        <v>50211620</v>
      </c>
      <c r="C7">
        <v>50211614</v>
      </c>
      <c r="D7">
        <v>45975178</v>
      </c>
      <c r="E7">
        <v>1</v>
      </c>
      <c r="F7">
        <v>1</v>
      </c>
      <c r="G7">
        <v>1</v>
      </c>
      <c r="H7">
        <v>1</v>
      </c>
      <c r="I7" t="s">
        <v>453</v>
      </c>
      <c r="J7" t="s">
        <v>3</v>
      </c>
      <c r="K7" t="s">
        <v>454</v>
      </c>
      <c r="L7">
        <v>1476</v>
      </c>
      <c r="N7">
        <v>1013</v>
      </c>
      <c r="O7" t="s">
        <v>447</v>
      </c>
      <c r="P7" t="s">
        <v>448</v>
      </c>
      <c r="Q7">
        <v>1</v>
      </c>
      <c r="X7">
        <v>11.41</v>
      </c>
      <c r="Y7">
        <v>0</v>
      </c>
      <c r="Z7">
        <v>0</v>
      </c>
      <c r="AA7">
        <v>0</v>
      </c>
      <c r="AB7">
        <v>6.35</v>
      </c>
      <c r="AC7">
        <v>0</v>
      </c>
      <c r="AD7">
        <v>1</v>
      </c>
      <c r="AE7">
        <v>1</v>
      </c>
      <c r="AF7" t="s">
        <v>62</v>
      </c>
      <c r="AG7">
        <v>13.121499999999999</v>
      </c>
      <c r="AH7">
        <v>2</v>
      </c>
      <c r="AI7">
        <v>50211615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ROW(Source!A37)</f>
        <v>37</v>
      </c>
      <c r="B8">
        <v>50211621</v>
      </c>
      <c r="C8">
        <v>50211614</v>
      </c>
      <c r="D8">
        <v>121548</v>
      </c>
      <c r="E8">
        <v>1</v>
      </c>
      <c r="F8">
        <v>1</v>
      </c>
      <c r="G8">
        <v>1</v>
      </c>
      <c r="H8">
        <v>1</v>
      </c>
      <c r="I8" t="s">
        <v>25</v>
      </c>
      <c r="J8" t="s">
        <v>3</v>
      </c>
      <c r="K8" t="s">
        <v>463</v>
      </c>
      <c r="L8">
        <v>608254</v>
      </c>
      <c r="N8">
        <v>1013</v>
      </c>
      <c r="O8" t="s">
        <v>464</v>
      </c>
      <c r="P8" t="s">
        <v>464</v>
      </c>
      <c r="Q8">
        <v>1</v>
      </c>
      <c r="X8">
        <v>33.090000000000003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2</v>
      </c>
      <c r="AF8" t="s">
        <v>61</v>
      </c>
      <c r="AG8">
        <v>41.362500000000004</v>
      </c>
      <c r="AH8">
        <v>2</v>
      </c>
      <c r="AI8">
        <v>50211616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ROW(Source!A37)</f>
        <v>37</v>
      </c>
      <c r="B9">
        <v>50211622</v>
      </c>
      <c r="C9">
        <v>50211614</v>
      </c>
      <c r="D9">
        <v>45811638</v>
      </c>
      <c r="E9">
        <v>1</v>
      </c>
      <c r="F9">
        <v>1</v>
      </c>
      <c r="G9">
        <v>1</v>
      </c>
      <c r="H9">
        <v>2</v>
      </c>
      <c r="I9" t="s">
        <v>465</v>
      </c>
      <c r="J9" t="s">
        <v>466</v>
      </c>
      <c r="K9" t="s">
        <v>467</v>
      </c>
      <c r="L9">
        <v>45811227</v>
      </c>
      <c r="N9">
        <v>1013</v>
      </c>
      <c r="O9" t="s">
        <v>452</v>
      </c>
      <c r="P9" t="s">
        <v>452</v>
      </c>
      <c r="Q9">
        <v>1</v>
      </c>
      <c r="X9">
        <v>25.25</v>
      </c>
      <c r="Y9">
        <v>0</v>
      </c>
      <c r="Z9">
        <v>125.46</v>
      </c>
      <c r="AA9">
        <v>13.26</v>
      </c>
      <c r="AB9">
        <v>0</v>
      </c>
      <c r="AC9">
        <v>0</v>
      </c>
      <c r="AD9">
        <v>1</v>
      </c>
      <c r="AE9">
        <v>0</v>
      </c>
      <c r="AF9" t="s">
        <v>61</v>
      </c>
      <c r="AG9">
        <v>31.5625</v>
      </c>
      <c r="AH9">
        <v>2</v>
      </c>
      <c r="AI9">
        <v>50211617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ROW(Source!A37)</f>
        <v>37</v>
      </c>
      <c r="B10">
        <v>50211623</v>
      </c>
      <c r="C10">
        <v>50211614</v>
      </c>
      <c r="D10">
        <v>45811709</v>
      </c>
      <c r="E10">
        <v>1</v>
      </c>
      <c r="F10">
        <v>1</v>
      </c>
      <c r="G10">
        <v>1</v>
      </c>
      <c r="H10">
        <v>2</v>
      </c>
      <c r="I10" t="s">
        <v>468</v>
      </c>
      <c r="J10" t="s">
        <v>469</v>
      </c>
      <c r="K10" t="s">
        <v>470</v>
      </c>
      <c r="L10">
        <v>45811227</v>
      </c>
      <c r="N10">
        <v>1013</v>
      </c>
      <c r="O10" t="s">
        <v>452</v>
      </c>
      <c r="P10" t="s">
        <v>452</v>
      </c>
      <c r="Q10">
        <v>1</v>
      </c>
      <c r="X10">
        <v>7.84</v>
      </c>
      <c r="Y10">
        <v>0</v>
      </c>
      <c r="Z10">
        <v>79.75</v>
      </c>
      <c r="AA10">
        <v>13.26</v>
      </c>
      <c r="AB10">
        <v>0</v>
      </c>
      <c r="AC10">
        <v>0</v>
      </c>
      <c r="AD10">
        <v>1</v>
      </c>
      <c r="AE10">
        <v>0</v>
      </c>
      <c r="AF10" t="s">
        <v>61</v>
      </c>
      <c r="AG10">
        <v>9.8000000000000007</v>
      </c>
      <c r="AH10">
        <v>2</v>
      </c>
      <c r="AI10">
        <v>50211618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ROW(Source!A37)</f>
        <v>37</v>
      </c>
      <c r="B11">
        <v>50211624</v>
      </c>
      <c r="C11">
        <v>50211614</v>
      </c>
      <c r="D11">
        <v>45864814</v>
      </c>
      <c r="E11">
        <v>1</v>
      </c>
      <c r="F11">
        <v>1</v>
      </c>
      <c r="G11">
        <v>1</v>
      </c>
      <c r="H11">
        <v>3</v>
      </c>
      <c r="I11" t="s">
        <v>471</v>
      </c>
      <c r="J11" t="s">
        <v>472</v>
      </c>
      <c r="K11" t="s">
        <v>473</v>
      </c>
      <c r="L11">
        <v>1339</v>
      </c>
      <c r="N11">
        <v>1007</v>
      </c>
      <c r="O11" t="s">
        <v>153</v>
      </c>
      <c r="P11" t="s">
        <v>153</v>
      </c>
      <c r="Q11">
        <v>1</v>
      </c>
      <c r="X11">
        <v>0.04</v>
      </c>
      <c r="Y11">
        <v>121.11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0.04</v>
      </c>
      <c r="AH11">
        <v>2</v>
      </c>
      <c r="AI11">
        <v>50211619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ROW(Source!A39)</f>
        <v>39</v>
      </c>
      <c r="B12">
        <v>50211634</v>
      </c>
      <c r="C12">
        <v>50211626</v>
      </c>
      <c r="D12">
        <v>45976914</v>
      </c>
      <c r="E12">
        <v>1</v>
      </c>
      <c r="F12">
        <v>1</v>
      </c>
      <c r="G12">
        <v>1</v>
      </c>
      <c r="H12">
        <v>1</v>
      </c>
      <c r="I12" t="s">
        <v>474</v>
      </c>
      <c r="J12" t="s">
        <v>3</v>
      </c>
      <c r="K12" t="s">
        <v>475</v>
      </c>
      <c r="L12">
        <v>1476</v>
      </c>
      <c r="N12">
        <v>1013</v>
      </c>
      <c r="O12" t="s">
        <v>447</v>
      </c>
      <c r="P12" t="s">
        <v>448</v>
      </c>
      <c r="Q12">
        <v>1</v>
      </c>
      <c r="X12">
        <v>0.42</v>
      </c>
      <c r="Y12">
        <v>0</v>
      </c>
      <c r="Z12">
        <v>0</v>
      </c>
      <c r="AA12">
        <v>0</v>
      </c>
      <c r="AB12">
        <v>6.88</v>
      </c>
      <c r="AC12">
        <v>0</v>
      </c>
      <c r="AD12">
        <v>1</v>
      </c>
      <c r="AE12">
        <v>1</v>
      </c>
      <c r="AF12" t="s">
        <v>3</v>
      </c>
      <c r="AG12">
        <v>0.42</v>
      </c>
      <c r="AH12">
        <v>2</v>
      </c>
      <c r="AI12">
        <v>50211627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ROW(Source!A39)</f>
        <v>39</v>
      </c>
      <c r="B13">
        <v>50211635</v>
      </c>
      <c r="C13">
        <v>50211626</v>
      </c>
      <c r="D13">
        <v>121548</v>
      </c>
      <c r="E13">
        <v>1</v>
      </c>
      <c r="F13">
        <v>1</v>
      </c>
      <c r="G13">
        <v>1</v>
      </c>
      <c r="H13">
        <v>1</v>
      </c>
      <c r="I13" t="s">
        <v>25</v>
      </c>
      <c r="J13" t="s">
        <v>3</v>
      </c>
      <c r="K13" t="s">
        <v>463</v>
      </c>
      <c r="L13">
        <v>608254</v>
      </c>
      <c r="N13">
        <v>1013</v>
      </c>
      <c r="O13" t="s">
        <v>464</v>
      </c>
      <c r="P13" t="s">
        <v>464</v>
      </c>
      <c r="Q13">
        <v>1</v>
      </c>
      <c r="X13">
        <v>0.91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2</v>
      </c>
      <c r="AF13" t="s">
        <v>3</v>
      </c>
      <c r="AG13">
        <v>0.91</v>
      </c>
      <c r="AH13">
        <v>2</v>
      </c>
      <c r="AI13">
        <v>50211628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ROW(Source!A39)</f>
        <v>39</v>
      </c>
      <c r="B14">
        <v>50211636</v>
      </c>
      <c r="C14">
        <v>50211626</v>
      </c>
      <c r="D14">
        <v>45812008</v>
      </c>
      <c r="E14">
        <v>1</v>
      </c>
      <c r="F14">
        <v>1</v>
      </c>
      <c r="G14">
        <v>1</v>
      </c>
      <c r="H14">
        <v>2</v>
      </c>
      <c r="I14" t="s">
        <v>476</v>
      </c>
      <c r="J14" t="s">
        <v>477</v>
      </c>
      <c r="K14" t="s">
        <v>478</v>
      </c>
      <c r="L14">
        <v>45811227</v>
      </c>
      <c r="N14">
        <v>1013</v>
      </c>
      <c r="O14" t="s">
        <v>452</v>
      </c>
      <c r="P14" t="s">
        <v>452</v>
      </c>
      <c r="Q14">
        <v>1</v>
      </c>
      <c r="X14">
        <v>0.44</v>
      </c>
      <c r="Y14">
        <v>0</v>
      </c>
      <c r="Z14">
        <v>86.28</v>
      </c>
      <c r="AA14">
        <v>11.38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0.44</v>
      </c>
      <c r="AH14">
        <v>2</v>
      </c>
      <c r="AI14">
        <v>50211629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ROW(Source!A39)</f>
        <v>39</v>
      </c>
      <c r="B15">
        <v>50211637</v>
      </c>
      <c r="C15">
        <v>50211626</v>
      </c>
      <c r="D15">
        <v>45812009</v>
      </c>
      <c r="E15">
        <v>1</v>
      </c>
      <c r="F15">
        <v>1</v>
      </c>
      <c r="G15">
        <v>1</v>
      </c>
      <c r="H15">
        <v>2</v>
      </c>
      <c r="I15" t="s">
        <v>479</v>
      </c>
      <c r="J15" t="s">
        <v>480</v>
      </c>
      <c r="K15" t="s">
        <v>481</v>
      </c>
      <c r="L15">
        <v>45811227</v>
      </c>
      <c r="N15">
        <v>1013</v>
      </c>
      <c r="O15" t="s">
        <v>452</v>
      </c>
      <c r="P15" t="s">
        <v>452</v>
      </c>
      <c r="Q15">
        <v>1</v>
      </c>
      <c r="X15">
        <v>0.03</v>
      </c>
      <c r="Y15">
        <v>0</v>
      </c>
      <c r="Z15">
        <v>110</v>
      </c>
      <c r="AA15">
        <v>11.38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0.03</v>
      </c>
      <c r="AH15">
        <v>2</v>
      </c>
      <c r="AI15">
        <v>50211630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ROW(Source!A39)</f>
        <v>39</v>
      </c>
      <c r="B16">
        <v>50211638</v>
      </c>
      <c r="C16">
        <v>50211626</v>
      </c>
      <c r="D16">
        <v>45812060</v>
      </c>
      <c r="E16">
        <v>1</v>
      </c>
      <c r="F16">
        <v>1</v>
      </c>
      <c r="G16">
        <v>1</v>
      </c>
      <c r="H16">
        <v>2</v>
      </c>
      <c r="I16" t="s">
        <v>482</v>
      </c>
      <c r="J16" t="s">
        <v>483</v>
      </c>
      <c r="K16" t="s">
        <v>484</v>
      </c>
      <c r="L16">
        <v>45811227</v>
      </c>
      <c r="N16">
        <v>1013</v>
      </c>
      <c r="O16" t="s">
        <v>452</v>
      </c>
      <c r="P16" t="s">
        <v>452</v>
      </c>
      <c r="Q16">
        <v>1</v>
      </c>
      <c r="X16">
        <v>0.44</v>
      </c>
      <c r="Y16">
        <v>0</v>
      </c>
      <c r="Z16">
        <v>1411.2</v>
      </c>
      <c r="AA16">
        <v>13.26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0.44</v>
      </c>
      <c r="AH16">
        <v>2</v>
      </c>
      <c r="AI16">
        <v>50211631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ROW(Source!A39)</f>
        <v>39</v>
      </c>
      <c r="B17">
        <v>50211639</v>
      </c>
      <c r="C17">
        <v>50211626</v>
      </c>
      <c r="D17">
        <v>45813333</v>
      </c>
      <c r="E17">
        <v>1</v>
      </c>
      <c r="F17">
        <v>1</v>
      </c>
      <c r="G17">
        <v>1</v>
      </c>
      <c r="H17">
        <v>2</v>
      </c>
      <c r="I17" t="s">
        <v>485</v>
      </c>
      <c r="J17" t="s">
        <v>486</v>
      </c>
      <c r="K17" t="s">
        <v>487</v>
      </c>
      <c r="L17">
        <v>45811227</v>
      </c>
      <c r="N17">
        <v>1013</v>
      </c>
      <c r="O17" t="s">
        <v>452</v>
      </c>
      <c r="P17" t="s">
        <v>452</v>
      </c>
      <c r="Q17">
        <v>1</v>
      </c>
      <c r="X17">
        <v>0.35</v>
      </c>
      <c r="Y17">
        <v>0</v>
      </c>
      <c r="Z17">
        <v>137.72999999999999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0.35</v>
      </c>
      <c r="AH17">
        <v>2</v>
      </c>
      <c r="AI17">
        <v>50211632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ROW(Source!A39)</f>
        <v>39</v>
      </c>
      <c r="B18">
        <v>50211640</v>
      </c>
      <c r="C18">
        <v>50211626</v>
      </c>
      <c r="D18">
        <v>45865353</v>
      </c>
      <c r="E18">
        <v>1</v>
      </c>
      <c r="F18">
        <v>1</v>
      </c>
      <c r="G18">
        <v>1</v>
      </c>
      <c r="H18">
        <v>3</v>
      </c>
      <c r="I18" t="s">
        <v>488</v>
      </c>
      <c r="J18" t="s">
        <v>489</v>
      </c>
      <c r="K18" t="s">
        <v>490</v>
      </c>
      <c r="L18">
        <v>1339</v>
      </c>
      <c r="N18">
        <v>1007</v>
      </c>
      <c r="O18" t="s">
        <v>153</v>
      </c>
      <c r="P18" t="s">
        <v>153</v>
      </c>
      <c r="Q18">
        <v>1</v>
      </c>
      <c r="X18">
        <v>0.17499999999999999</v>
      </c>
      <c r="Y18">
        <v>2.2599999999999998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0.17499999999999999</v>
      </c>
      <c r="AH18">
        <v>2</v>
      </c>
      <c r="AI18">
        <v>50211633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ROW(Source!A40)</f>
        <v>40</v>
      </c>
      <c r="B19">
        <v>50211646</v>
      </c>
      <c r="C19">
        <v>50211641</v>
      </c>
      <c r="D19">
        <v>45979759</v>
      </c>
      <c r="E19">
        <v>1</v>
      </c>
      <c r="F19">
        <v>1</v>
      </c>
      <c r="G19">
        <v>1</v>
      </c>
      <c r="H19">
        <v>1</v>
      </c>
      <c r="I19" t="s">
        <v>491</v>
      </c>
      <c r="J19" t="s">
        <v>3</v>
      </c>
      <c r="K19" t="s">
        <v>492</v>
      </c>
      <c r="L19">
        <v>1476</v>
      </c>
      <c r="N19">
        <v>1013</v>
      </c>
      <c r="O19" t="s">
        <v>447</v>
      </c>
      <c r="P19" t="s">
        <v>448</v>
      </c>
      <c r="Q19">
        <v>1</v>
      </c>
      <c r="X19">
        <v>68.260000000000005</v>
      </c>
      <c r="Y19">
        <v>0</v>
      </c>
      <c r="Z19">
        <v>0</v>
      </c>
      <c r="AA19">
        <v>0</v>
      </c>
      <c r="AB19">
        <v>7.03</v>
      </c>
      <c r="AC19">
        <v>0</v>
      </c>
      <c r="AD19">
        <v>1</v>
      </c>
      <c r="AE19">
        <v>1</v>
      </c>
      <c r="AF19" t="s">
        <v>3</v>
      </c>
      <c r="AG19">
        <v>68.260000000000005</v>
      </c>
      <c r="AH19">
        <v>2</v>
      </c>
      <c r="AI19">
        <v>50211642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ROW(Source!A40)</f>
        <v>40</v>
      </c>
      <c r="B20">
        <v>50211647</v>
      </c>
      <c r="C20">
        <v>50211641</v>
      </c>
      <c r="D20">
        <v>121548</v>
      </c>
      <c r="E20">
        <v>1</v>
      </c>
      <c r="F20">
        <v>1</v>
      </c>
      <c r="G20">
        <v>1</v>
      </c>
      <c r="H20">
        <v>1</v>
      </c>
      <c r="I20" t="s">
        <v>25</v>
      </c>
      <c r="J20" t="s">
        <v>3</v>
      </c>
      <c r="K20" t="s">
        <v>463</v>
      </c>
      <c r="L20">
        <v>608254</v>
      </c>
      <c r="N20">
        <v>1013</v>
      </c>
      <c r="O20" t="s">
        <v>464</v>
      </c>
      <c r="P20" t="s">
        <v>464</v>
      </c>
      <c r="Q20">
        <v>1</v>
      </c>
      <c r="X20">
        <v>9.4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3</v>
      </c>
      <c r="AG20">
        <v>9.4</v>
      </c>
      <c r="AH20">
        <v>2</v>
      </c>
      <c r="AI20">
        <v>50211643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ROW(Source!A40)</f>
        <v>40</v>
      </c>
      <c r="B21">
        <v>50211648</v>
      </c>
      <c r="C21">
        <v>50211641</v>
      </c>
      <c r="D21">
        <v>45811598</v>
      </c>
      <c r="E21">
        <v>1</v>
      </c>
      <c r="F21">
        <v>1</v>
      </c>
      <c r="G21">
        <v>1</v>
      </c>
      <c r="H21">
        <v>2</v>
      </c>
      <c r="I21" t="s">
        <v>493</v>
      </c>
      <c r="J21" t="s">
        <v>494</v>
      </c>
      <c r="K21" t="s">
        <v>495</v>
      </c>
      <c r="L21">
        <v>45811227</v>
      </c>
      <c r="N21">
        <v>1013</v>
      </c>
      <c r="O21" t="s">
        <v>452</v>
      </c>
      <c r="P21" t="s">
        <v>452</v>
      </c>
      <c r="Q21">
        <v>1</v>
      </c>
      <c r="X21">
        <v>9.4</v>
      </c>
      <c r="Y21">
        <v>0</v>
      </c>
      <c r="Z21">
        <v>89.82</v>
      </c>
      <c r="AA21">
        <v>9.8800000000000008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9.4</v>
      </c>
      <c r="AH21">
        <v>2</v>
      </c>
      <c r="AI21">
        <v>50211644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ROW(Source!A40)</f>
        <v>40</v>
      </c>
      <c r="B22">
        <v>50211649</v>
      </c>
      <c r="C22">
        <v>50211641</v>
      </c>
      <c r="D22">
        <v>45813004</v>
      </c>
      <c r="E22">
        <v>1</v>
      </c>
      <c r="F22">
        <v>1</v>
      </c>
      <c r="G22">
        <v>1</v>
      </c>
      <c r="H22">
        <v>2</v>
      </c>
      <c r="I22" t="s">
        <v>460</v>
      </c>
      <c r="J22" t="s">
        <v>461</v>
      </c>
      <c r="K22" t="s">
        <v>462</v>
      </c>
      <c r="L22">
        <v>45811227</v>
      </c>
      <c r="N22">
        <v>1013</v>
      </c>
      <c r="O22" t="s">
        <v>452</v>
      </c>
      <c r="P22" t="s">
        <v>452</v>
      </c>
      <c r="Q22">
        <v>1</v>
      </c>
      <c r="X22">
        <v>28.2</v>
      </c>
      <c r="Y22">
        <v>0</v>
      </c>
      <c r="Z22">
        <v>1.53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28.2</v>
      </c>
      <c r="AH22">
        <v>2</v>
      </c>
      <c r="AI22">
        <v>50211645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ROW(Source!A113)</f>
        <v>113</v>
      </c>
      <c r="B23">
        <v>50211662</v>
      </c>
      <c r="C23">
        <v>50211653</v>
      </c>
      <c r="D23">
        <v>45976664</v>
      </c>
      <c r="E23">
        <v>1</v>
      </c>
      <c r="F23">
        <v>1</v>
      </c>
      <c r="G23">
        <v>1</v>
      </c>
      <c r="H23">
        <v>1</v>
      </c>
      <c r="I23" t="s">
        <v>496</v>
      </c>
      <c r="J23" t="s">
        <v>3</v>
      </c>
      <c r="K23" t="s">
        <v>497</v>
      </c>
      <c r="L23">
        <v>1476</v>
      </c>
      <c r="N23">
        <v>1013</v>
      </c>
      <c r="O23" t="s">
        <v>447</v>
      </c>
      <c r="P23" t="s">
        <v>448</v>
      </c>
      <c r="Q23">
        <v>1</v>
      </c>
      <c r="X23">
        <v>15.72</v>
      </c>
      <c r="Y23">
        <v>0</v>
      </c>
      <c r="Z23">
        <v>0</v>
      </c>
      <c r="AA23">
        <v>0</v>
      </c>
      <c r="AB23">
        <v>6.52</v>
      </c>
      <c r="AC23">
        <v>0</v>
      </c>
      <c r="AD23">
        <v>1</v>
      </c>
      <c r="AE23">
        <v>1</v>
      </c>
      <c r="AF23" t="s">
        <v>12</v>
      </c>
      <c r="AG23">
        <v>18.077999999999999</v>
      </c>
      <c r="AH23">
        <v>2</v>
      </c>
      <c r="AI23">
        <v>50211654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ROW(Source!A113)</f>
        <v>113</v>
      </c>
      <c r="B24">
        <v>50211663</v>
      </c>
      <c r="C24">
        <v>50211653</v>
      </c>
      <c r="D24">
        <v>121548</v>
      </c>
      <c r="E24">
        <v>1</v>
      </c>
      <c r="F24">
        <v>1</v>
      </c>
      <c r="G24">
        <v>1</v>
      </c>
      <c r="H24">
        <v>1</v>
      </c>
      <c r="I24" t="s">
        <v>25</v>
      </c>
      <c r="J24" t="s">
        <v>3</v>
      </c>
      <c r="K24" t="s">
        <v>463</v>
      </c>
      <c r="L24">
        <v>608254</v>
      </c>
      <c r="N24">
        <v>1013</v>
      </c>
      <c r="O24" t="s">
        <v>464</v>
      </c>
      <c r="P24" t="s">
        <v>464</v>
      </c>
      <c r="Q24">
        <v>1</v>
      </c>
      <c r="X24">
        <v>13.88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11</v>
      </c>
      <c r="AG24">
        <v>17.350000000000001</v>
      </c>
      <c r="AH24">
        <v>2</v>
      </c>
      <c r="AI24">
        <v>50211655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ROW(Source!A113)</f>
        <v>113</v>
      </c>
      <c r="B25">
        <v>50211664</v>
      </c>
      <c r="C25">
        <v>50211653</v>
      </c>
      <c r="D25">
        <v>45811426</v>
      </c>
      <c r="E25">
        <v>1</v>
      </c>
      <c r="F25">
        <v>1</v>
      </c>
      <c r="G25">
        <v>1</v>
      </c>
      <c r="H25">
        <v>2</v>
      </c>
      <c r="I25" t="s">
        <v>498</v>
      </c>
      <c r="J25" t="s">
        <v>499</v>
      </c>
      <c r="K25" t="s">
        <v>500</v>
      </c>
      <c r="L25">
        <v>45811227</v>
      </c>
      <c r="N25">
        <v>1013</v>
      </c>
      <c r="O25" t="s">
        <v>452</v>
      </c>
      <c r="P25" t="s">
        <v>452</v>
      </c>
      <c r="Q25">
        <v>1</v>
      </c>
      <c r="X25">
        <v>4.29</v>
      </c>
      <c r="Y25">
        <v>0</v>
      </c>
      <c r="Z25">
        <v>89.81</v>
      </c>
      <c r="AA25">
        <v>9.8800000000000008</v>
      </c>
      <c r="AB25">
        <v>0</v>
      </c>
      <c r="AC25">
        <v>0</v>
      </c>
      <c r="AD25">
        <v>1</v>
      </c>
      <c r="AE25">
        <v>0</v>
      </c>
      <c r="AF25" t="s">
        <v>11</v>
      </c>
      <c r="AG25">
        <v>5.3624999999999998</v>
      </c>
      <c r="AH25">
        <v>2</v>
      </c>
      <c r="AI25">
        <v>50211656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ROW(Source!A113)</f>
        <v>113</v>
      </c>
      <c r="B26">
        <v>50211665</v>
      </c>
      <c r="C26">
        <v>50211653</v>
      </c>
      <c r="D26">
        <v>45811921</v>
      </c>
      <c r="E26">
        <v>1</v>
      </c>
      <c r="F26">
        <v>1</v>
      </c>
      <c r="G26">
        <v>1</v>
      </c>
      <c r="H26">
        <v>2</v>
      </c>
      <c r="I26" t="s">
        <v>501</v>
      </c>
      <c r="J26" t="s">
        <v>502</v>
      </c>
      <c r="K26" t="s">
        <v>503</v>
      </c>
      <c r="L26">
        <v>45811227</v>
      </c>
      <c r="N26">
        <v>1013</v>
      </c>
      <c r="O26" t="s">
        <v>452</v>
      </c>
      <c r="P26" t="s">
        <v>452</v>
      </c>
      <c r="Q26">
        <v>1</v>
      </c>
      <c r="X26">
        <v>1.77</v>
      </c>
      <c r="Y26">
        <v>0</v>
      </c>
      <c r="Z26">
        <v>122.76</v>
      </c>
      <c r="AA26">
        <v>13.26</v>
      </c>
      <c r="AB26">
        <v>0</v>
      </c>
      <c r="AC26">
        <v>0</v>
      </c>
      <c r="AD26">
        <v>1</v>
      </c>
      <c r="AE26">
        <v>0</v>
      </c>
      <c r="AF26" t="s">
        <v>11</v>
      </c>
      <c r="AG26">
        <v>2.2124999999999999</v>
      </c>
      <c r="AH26">
        <v>2</v>
      </c>
      <c r="AI26">
        <v>50211657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ROW(Source!A113)</f>
        <v>113</v>
      </c>
      <c r="B27">
        <v>50211666</v>
      </c>
      <c r="C27">
        <v>50211653</v>
      </c>
      <c r="D27">
        <v>45811951</v>
      </c>
      <c r="E27">
        <v>1</v>
      </c>
      <c r="F27">
        <v>1</v>
      </c>
      <c r="G27">
        <v>1</v>
      </c>
      <c r="H27">
        <v>2</v>
      </c>
      <c r="I27" t="s">
        <v>504</v>
      </c>
      <c r="J27" t="s">
        <v>505</v>
      </c>
      <c r="K27" t="s">
        <v>506</v>
      </c>
      <c r="L27">
        <v>45811227</v>
      </c>
      <c r="N27">
        <v>1013</v>
      </c>
      <c r="O27" t="s">
        <v>452</v>
      </c>
      <c r="P27" t="s">
        <v>452</v>
      </c>
      <c r="Q27">
        <v>1</v>
      </c>
      <c r="X27">
        <v>7.08</v>
      </c>
      <c r="Y27">
        <v>0</v>
      </c>
      <c r="Z27">
        <v>205.75</v>
      </c>
      <c r="AA27">
        <v>14.14</v>
      </c>
      <c r="AB27">
        <v>0</v>
      </c>
      <c r="AC27">
        <v>0</v>
      </c>
      <c r="AD27">
        <v>1</v>
      </c>
      <c r="AE27">
        <v>0</v>
      </c>
      <c r="AF27" t="s">
        <v>11</v>
      </c>
      <c r="AG27">
        <v>8.85</v>
      </c>
      <c r="AH27">
        <v>2</v>
      </c>
      <c r="AI27">
        <v>50211658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ROW(Source!A113)</f>
        <v>113</v>
      </c>
      <c r="B28">
        <v>50211667</v>
      </c>
      <c r="C28">
        <v>50211653</v>
      </c>
      <c r="D28">
        <v>45812009</v>
      </c>
      <c r="E28">
        <v>1</v>
      </c>
      <c r="F28">
        <v>1</v>
      </c>
      <c r="G28">
        <v>1</v>
      </c>
      <c r="H28">
        <v>2</v>
      </c>
      <c r="I28" t="s">
        <v>479</v>
      </c>
      <c r="J28" t="s">
        <v>480</v>
      </c>
      <c r="K28" t="s">
        <v>481</v>
      </c>
      <c r="L28">
        <v>45811227</v>
      </c>
      <c r="N28">
        <v>1013</v>
      </c>
      <c r="O28" t="s">
        <v>452</v>
      </c>
      <c r="P28" t="s">
        <v>452</v>
      </c>
      <c r="Q28">
        <v>1</v>
      </c>
      <c r="X28">
        <v>0.74</v>
      </c>
      <c r="Y28">
        <v>0</v>
      </c>
      <c r="Z28">
        <v>110</v>
      </c>
      <c r="AA28">
        <v>11.38</v>
      </c>
      <c r="AB28">
        <v>0</v>
      </c>
      <c r="AC28">
        <v>0</v>
      </c>
      <c r="AD28">
        <v>1</v>
      </c>
      <c r="AE28">
        <v>0</v>
      </c>
      <c r="AF28" t="s">
        <v>11</v>
      </c>
      <c r="AG28">
        <v>0.92500000000000004</v>
      </c>
      <c r="AH28">
        <v>2</v>
      </c>
      <c r="AI28">
        <v>50211659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ROW(Source!A113)</f>
        <v>113</v>
      </c>
      <c r="B29">
        <v>50211668</v>
      </c>
      <c r="C29">
        <v>50211653</v>
      </c>
      <c r="D29">
        <v>45865147</v>
      </c>
      <c r="E29">
        <v>1</v>
      </c>
      <c r="F29">
        <v>1</v>
      </c>
      <c r="G29">
        <v>1</v>
      </c>
      <c r="H29">
        <v>3</v>
      </c>
      <c r="I29" t="s">
        <v>647</v>
      </c>
      <c r="J29" t="s">
        <v>648</v>
      </c>
      <c r="K29" t="s">
        <v>649</v>
      </c>
      <c r="L29">
        <v>1339</v>
      </c>
      <c r="N29">
        <v>1007</v>
      </c>
      <c r="O29" t="s">
        <v>153</v>
      </c>
      <c r="P29" t="s">
        <v>153</v>
      </c>
      <c r="Q29">
        <v>1</v>
      </c>
      <c r="X29">
        <v>0</v>
      </c>
      <c r="Y29">
        <v>0</v>
      </c>
      <c r="Z29">
        <v>0</v>
      </c>
      <c r="AA29">
        <v>0</v>
      </c>
      <c r="AB29">
        <v>0</v>
      </c>
      <c r="AC29">
        <v>1</v>
      </c>
      <c r="AD29">
        <v>0</v>
      </c>
      <c r="AE29">
        <v>0</v>
      </c>
      <c r="AF29" t="s">
        <v>3</v>
      </c>
      <c r="AG29">
        <v>0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ROW(Source!A113)</f>
        <v>113</v>
      </c>
      <c r="B30">
        <v>50211669</v>
      </c>
      <c r="C30">
        <v>50211653</v>
      </c>
      <c r="D30">
        <v>45865353</v>
      </c>
      <c r="E30">
        <v>1</v>
      </c>
      <c r="F30">
        <v>1</v>
      </c>
      <c r="G30">
        <v>1</v>
      </c>
      <c r="H30">
        <v>3</v>
      </c>
      <c r="I30" t="s">
        <v>488</v>
      </c>
      <c r="J30" t="s">
        <v>489</v>
      </c>
      <c r="K30" t="s">
        <v>490</v>
      </c>
      <c r="L30">
        <v>1339</v>
      </c>
      <c r="N30">
        <v>1007</v>
      </c>
      <c r="O30" t="s">
        <v>153</v>
      </c>
      <c r="P30" t="s">
        <v>153</v>
      </c>
      <c r="Q30">
        <v>1</v>
      </c>
      <c r="X30">
        <v>5</v>
      </c>
      <c r="Y30">
        <v>2.2599999999999998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5</v>
      </c>
      <c r="AH30">
        <v>2</v>
      </c>
      <c r="AI30">
        <v>50211661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ROW(Source!A115)</f>
        <v>115</v>
      </c>
      <c r="B31">
        <v>50211681</v>
      </c>
      <c r="C31">
        <v>50211671</v>
      </c>
      <c r="D31">
        <v>45978326</v>
      </c>
      <c r="E31">
        <v>1</v>
      </c>
      <c r="F31">
        <v>1</v>
      </c>
      <c r="G31">
        <v>1</v>
      </c>
      <c r="H31">
        <v>1</v>
      </c>
      <c r="I31" t="s">
        <v>507</v>
      </c>
      <c r="J31" t="s">
        <v>3</v>
      </c>
      <c r="K31" t="s">
        <v>508</v>
      </c>
      <c r="L31">
        <v>1476</v>
      </c>
      <c r="N31">
        <v>1013</v>
      </c>
      <c r="O31" t="s">
        <v>447</v>
      </c>
      <c r="P31" t="s">
        <v>448</v>
      </c>
      <c r="Q31">
        <v>1</v>
      </c>
      <c r="X31">
        <v>24.19</v>
      </c>
      <c r="Y31">
        <v>0</v>
      </c>
      <c r="Z31">
        <v>0</v>
      </c>
      <c r="AA31">
        <v>0</v>
      </c>
      <c r="AB31">
        <v>6.58</v>
      </c>
      <c r="AC31">
        <v>0</v>
      </c>
      <c r="AD31">
        <v>1</v>
      </c>
      <c r="AE31">
        <v>1</v>
      </c>
      <c r="AF31" t="s">
        <v>62</v>
      </c>
      <c r="AG31">
        <v>27.8185</v>
      </c>
      <c r="AH31">
        <v>2</v>
      </c>
      <c r="AI31">
        <v>50211672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ROW(Source!A115)</f>
        <v>115</v>
      </c>
      <c r="B32">
        <v>50211682</v>
      </c>
      <c r="C32">
        <v>50211671</v>
      </c>
      <c r="D32">
        <v>121548</v>
      </c>
      <c r="E32">
        <v>1</v>
      </c>
      <c r="F32">
        <v>1</v>
      </c>
      <c r="G32">
        <v>1</v>
      </c>
      <c r="H32">
        <v>1</v>
      </c>
      <c r="I32" t="s">
        <v>25</v>
      </c>
      <c r="J32" t="s">
        <v>3</v>
      </c>
      <c r="K32" t="s">
        <v>463</v>
      </c>
      <c r="L32">
        <v>608254</v>
      </c>
      <c r="N32">
        <v>1013</v>
      </c>
      <c r="O32" t="s">
        <v>464</v>
      </c>
      <c r="P32" t="s">
        <v>464</v>
      </c>
      <c r="Q32">
        <v>1</v>
      </c>
      <c r="X32">
        <v>20.6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61</v>
      </c>
      <c r="AG32">
        <v>25.75</v>
      </c>
      <c r="AH32">
        <v>2</v>
      </c>
      <c r="AI32">
        <v>50211673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ROW(Source!A115)</f>
        <v>115</v>
      </c>
      <c r="B33">
        <v>50211683</v>
      </c>
      <c r="C33">
        <v>50211671</v>
      </c>
      <c r="D33">
        <v>45811426</v>
      </c>
      <c r="E33">
        <v>1</v>
      </c>
      <c r="F33">
        <v>1</v>
      </c>
      <c r="G33">
        <v>1</v>
      </c>
      <c r="H33">
        <v>2</v>
      </c>
      <c r="I33" t="s">
        <v>498</v>
      </c>
      <c r="J33" t="s">
        <v>499</v>
      </c>
      <c r="K33" t="s">
        <v>500</v>
      </c>
      <c r="L33">
        <v>45811227</v>
      </c>
      <c r="N33">
        <v>1013</v>
      </c>
      <c r="O33" t="s">
        <v>452</v>
      </c>
      <c r="P33" t="s">
        <v>452</v>
      </c>
      <c r="Q33">
        <v>1</v>
      </c>
      <c r="X33">
        <v>2.46</v>
      </c>
      <c r="Y33">
        <v>0</v>
      </c>
      <c r="Z33">
        <v>89.81</v>
      </c>
      <c r="AA33">
        <v>9.8800000000000008</v>
      </c>
      <c r="AB33">
        <v>0</v>
      </c>
      <c r="AC33">
        <v>0</v>
      </c>
      <c r="AD33">
        <v>1</v>
      </c>
      <c r="AE33">
        <v>0</v>
      </c>
      <c r="AF33" t="s">
        <v>61</v>
      </c>
      <c r="AG33">
        <v>3.0750000000000002</v>
      </c>
      <c r="AH33">
        <v>2</v>
      </c>
      <c r="AI33">
        <v>50211674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ROW(Source!A115)</f>
        <v>115</v>
      </c>
      <c r="B34">
        <v>50211684</v>
      </c>
      <c r="C34">
        <v>50211671</v>
      </c>
      <c r="D34">
        <v>45811709</v>
      </c>
      <c r="E34">
        <v>1</v>
      </c>
      <c r="F34">
        <v>1</v>
      </c>
      <c r="G34">
        <v>1</v>
      </c>
      <c r="H34">
        <v>2</v>
      </c>
      <c r="I34" t="s">
        <v>468</v>
      </c>
      <c r="J34" t="s">
        <v>469</v>
      </c>
      <c r="K34" t="s">
        <v>470</v>
      </c>
      <c r="L34">
        <v>45811227</v>
      </c>
      <c r="N34">
        <v>1013</v>
      </c>
      <c r="O34" t="s">
        <v>452</v>
      </c>
      <c r="P34" t="s">
        <v>452</v>
      </c>
      <c r="Q34">
        <v>1</v>
      </c>
      <c r="X34">
        <v>2.59</v>
      </c>
      <c r="Y34">
        <v>0</v>
      </c>
      <c r="Z34">
        <v>79.75</v>
      </c>
      <c r="AA34">
        <v>13.26</v>
      </c>
      <c r="AB34">
        <v>0</v>
      </c>
      <c r="AC34">
        <v>0</v>
      </c>
      <c r="AD34">
        <v>1</v>
      </c>
      <c r="AE34">
        <v>0</v>
      </c>
      <c r="AF34" t="s">
        <v>61</v>
      </c>
      <c r="AG34">
        <v>3.2374999999999998</v>
      </c>
      <c r="AH34">
        <v>2</v>
      </c>
      <c r="AI34">
        <v>50211675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ROW(Source!A115)</f>
        <v>115</v>
      </c>
      <c r="B35">
        <v>50211685</v>
      </c>
      <c r="C35">
        <v>50211671</v>
      </c>
      <c r="D35">
        <v>45811921</v>
      </c>
      <c r="E35">
        <v>1</v>
      </c>
      <c r="F35">
        <v>1</v>
      </c>
      <c r="G35">
        <v>1</v>
      </c>
      <c r="H35">
        <v>2</v>
      </c>
      <c r="I35" t="s">
        <v>501</v>
      </c>
      <c r="J35" t="s">
        <v>502</v>
      </c>
      <c r="K35" t="s">
        <v>503</v>
      </c>
      <c r="L35">
        <v>45811227</v>
      </c>
      <c r="N35">
        <v>1013</v>
      </c>
      <c r="O35" t="s">
        <v>452</v>
      </c>
      <c r="P35" t="s">
        <v>452</v>
      </c>
      <c r="Q35">
        <v>1</v>
      </c>
      <c r="X35">
        <v>2.2999999999999998</v>
      </c>
      <c r="Y35">
        <v>0</v>
      </c>
      <c r="Z35">
        <v>122.76</v>
      </c>
      <c r="AA35">
        <v>13.26</v>
      </c>
      <c r="AB35">
        <v>0</v>
      </c>
      <c r="AC35">
        <v>0</v>
      </c>
      <c r="AD35">
        <v>1</v>
      </c>
      <c r="AE35">
        <v>0</v>
      </c>
      <c r="AF35" t="s">
        <v>61</v>
      </c>
      <c r="AG35">
        <v>2.875</v>
      </c>
      <c r="AH35">
        <v>2</v>
      </c>
      <c r="AI35">
        <v>50211676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ROW(Source!A115)</f>
        <v>115</v>
      </c>
      <c r="B36">
        <v>50211686</v>
      </c>
      <c r="C36">
        <v>50211671</v>
      </c>
      <c r="D36">
        <v>45811951</v>
      </c>
      <c r="E36">
        <v>1</v>
      </c>
      <c r="F36">
        <v>1</v>
      </c>
      <c r="G36">
        <v>1</v>
      </c>
      <c r="H36">
        <v>2</v>
      </c>
      <c r="I36" t="s">
        <v>504</v>
      </c>
      <c r="J36" t="s">
        <v>505</v>
      </c>
      <c r="K36" t="s">
        <v>506</v>
      </c>
      <c r="L36">
        <v>45811227</v>
      </c>
      <c r="N36">
        <v>1013</v>
      </c>
      <c r="O36" t="s">
        <v>452</v>
      </c>
      <c r="P36" t="s">
        <v>452</v>
      </c>
      <c r="Q36">
        <v>1</v>
      </c>
      <c r="X36">
        <v>12.21</v>
      </c>
      <c r="Y36">
        <v>0</v>
      </c>
      <c r="Z36">
        <v>205.75</v>
      </c>
      <c r="AA36">
        <v>14.14</v>
      </c>
      <c r="AB36">
        <v>0</v>
      </c>
      <c r="AC36">
        <v>0</v>
      </c>
      <c r="AD36">
        <v>1</v>
      </c>
      <c r="AE36">
        <v>0</v>
      </c>
      <c r="AF36" t="s">
        <v>61</v>
      </c>
      <c r="AG36">
        <v>15.262500000000001</v>
      </c>
      <c r="AH36">
        <v>2</v>
      </c>
      <c r="AI36">
        <v>50211677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ROW(Source!A115)</f>
        <v>115</v>
      </c>
      <c r="B37">
        <v>50211687</v>
      </c>
      <c r="C37">
        <v>50211671</v>
      </c>
      <c r="D37">
        <v>45812009</v>
      </c>
      <c r="E37">
        <v>1</v>
      </c>
      <c r="F37">
        <v>1</v>
      </c>
      <c r="G37">
        <v>1</v>
      </c>
      <c r="H37">
        <v>2</v>
      </c>
      <c r="I37" t="s">
        <v>479</v>
      </c>
      <c r="J37" t="s">
        <v>480</v>
      </c>
      <c r="K37" t="s">
        <v>481</v>
      </c>
      <c r="L37">
        <v>45811227</v>
      </c>
      <c r="N37">
        <v>1013</v>
      </c>
      <c r="O37" t="s">
        <v>452</v>
      </c>
      <c r="P37" t="s">
        <v>452</v>
      </c>
      <c r="Q37">
        <v>1</v>
      </c>
      <c r="X37">
        <v>1.04</v>
      </c>
      <c r="Y37">
        <v>0</v>
      </c>
      <c r="Z37">
        <v>110</v>
      </c>
      <c r="AA37">
        <v>11.38</v>
      </c>
      <c r="AB37">
        <v>0</v>
      </c>
      <c r="AC37">
        <v>0</v>
      </c>
      <c r="AD37">
        <v>1</v>
      </c>
      <c r="AE37">
        <v>0</v>
      </c>
      <c r="AF37" t="s">
        <v>61</v>
      </c>
      <c r="AG37">
        <v>1.3</v>
      </c>
      <c r="AH37">
        <v>2</v>
      </c>
      <c r="AI37">
        <v>50211678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ROW(Source!A115)</f>
        <v>115</v>
      </c>
      <c r="B38">
        <v>50211688</v>
      </c>
      <c r="C38">
        <v>50211671</v>
      </c>
      <c r="D38">
        <v>45865150</v>
      </c>
      <c r="E38">
        <v>1</v>
      </c>
      <c r="F38">
        <v>1</v>
      </c>
      <c r="G38">
        <v>1</v>
      </c>
      <c r="H38">
        <v>3</v>
      </c>
      <c r="I38" t="s">
        <v>650</v>
      </c>
      <c r="J38" t="s">
        <v>651</v>
      </c>
      <c r="K38" t="s">
        <v>652</v>
      </c>
      <c r="L38">
        <v>1339</v>
      </c>
      <c r="N38">
        <v>1007</v>
      </c>
      <c r="O38" t="s">
        <v>153</v>
      </c>
      <c r="P38" t="s">
        <v>153</v>
      </c>
      <c r="Q38">
        <v>1</v>
      </c>
      <c r="X38">
        <v>0</v>
      </c>
      <c r="Y38">
        <v>0</v>
      </c>
      <c r="Z38">
        <v>0</v>
      </c>
      <c r="AA38">
        <v>0</v>
      </c>
      <c r="AB38">
        <v>0</v>
      </c>
      <c r="AC38">
        <v>1</v>
      </c>
      <c r="AD38">
        <v>0</v>
      </c>
      <c r="AE38">
        <v>0</v>
      </c>
      <c r="AF38" t="s">
        <v>3</v>
      </c>
      <c r="AG38">
        <v>0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ROW(Source!A115)</f>
        <v>115</v>
      </c>
      <c r="B39">
        <v>50211689</v>
      </c>
      <c r="C39">
        <v>50211671</v>
      </c>
      <c r="D39">
        <v>45865353</v>
      </c>
      <c r="E39">
        <v>1</v>
      </c>
      <c r="F39">
        <v>1</v>
      </c>
      <c r="G39">
        <v>1</v>
      </c>
      <c r="H39">
        <v>3</v>
      </c>
      <c r="I39" t="s">
        <v>488</v>
      </c>
      <c r="J39" t="s">
        <v>489</v>
      </c>
      <c r="K39" t="s">
        <v>490</v>
      </c>
      <c r="L39">
        <v>1339</v>
      </c>
      <c r="N39">
        <v>1007</v>
      </c>
      <c r="O39" t="s">
        <v>153</v>
      </c>
      <c r="P39" t="s">
        <v>153</v>
      </c>
      <c r="Q39">
        <v>1</v>
      </c>
      <c r="X39">
        <v>7</v>
      </c>
      <c r="Y39">
        <v>2.2599999999999998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7</v>
      </c>
      <c r="AH39">
        <v>2</v>
      </c>
      <c r="AI39">
        <v>50211680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ROW(Source!A117)</f>
        <v>117</v>
      </c>
      <c r="B40">
        <v>50211700</v>
      </c>
      <c r="C40">
        <v>50211691</v>
      </c>
      <c r="D40">
        <v>45978326</v>
      </c>
      <c r="E40">
        <v>1</v>
      </c>
      <c r="F40">
        <v>1</v>
      </c>
      <c r="G40">
        <v>1</v>
      </c>
      <c r="H40">
        <v>1</v>
      </c>
      <c r="I40" t="s">
        <v>507</v>
      </c>
      <c r="J40" t="s">
        <v>3</v>
      </c>
      <c r="K40" t="s">
        <v>508</v>
      </c>
      <c r="L40">
        <v>1476</v>
      </c>
      <c r="N40">
        <v>1013</v>
      </c>
      <c r="O40" t="s">
        <v>447</v>
      </c>
      <c r="P40" t="s">
        <v>448</v>
      </c>
      <c r="Q40">
        <v>1</v>
      </c>
      <c r="X40">
        <v>24.19</v>
      </c>
      <c r="Y40">
        <v>0</v>
      </c>
      <c r="Z40">
        <v>0</v>
      </c>
      <c r="AA40">
        <v>0</v>
      </c>
      <c r="AB40">
        <v>6.58</v>
      </c>
      <c r="AC40">
        <v>0</v>
      </c>
      <c r="AD40">
        <v>1</v>
      </c>
      <c r="AE40">
        <v>1</v>
      </c>
      <c r="AF40" t="s">
        <v>62</v>
      </c>
      <c r="AG40">
        <v>27.8185</v>
      </c>
      <c r="AH40">
        <v>2</v>
      </c>
      <c r="AI40">
        <v>50211692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ROW(Source!A117)</f>
        <v>117</v>
      </c>
      <c r="B41">
        <v>50211701</v>
      </c>
      <c r="C41">
        <v>50211691</v>
      </c>
      <c r="D41">
        <v>121548</v>
      </c>
      <c r="E41">
        <v>1</v>
      </c>
      <c r="F41">
        <v>1</v>
      </c>
      <c r="G41">
        <v>1</v>
      </c>
      <c r="H41">
        <v>1</v>
      </c>
      <c r="I41" t="s">
        <v>25</v>
      </c>
      <c r="J41" t="s">
        <v>3</v>
      </c>
      <c r="K41" t="s">
        <v>463</v>
      </c>
      <c r="L41">
        <v>608254</v>
      </c>
      <c r="N41">
        <v>1013</v>
      </c>
      <c r="O41" t="s">
        <v>464</v>
      </c>
      <c r="P41" t="s">
        <v>464</v>
      </c>
      <c r="Q41">
        <v>1</v>
      </c>
      <c r="X41">
        <v>20.6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2</v>
      </c>
      <c r="AF41" t="s">
        <v>61</v>
      </c>
      <c r="AG41">
        <v>25.75</v>
      </c>
      <c r="AH41">
        <v>2</v>
      </c>
      <c r="AI41">
        <v>50211693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ROW(Source!A117)</f>
        <v>117</v>
      </c>
      <c r="B42">
        <v>50211702</v>
      </c>
      <c r="C42">
        <v>50211691</v>
      </c>
      <c r="D42">
        <v>45811426</v>
      </c>
      <c r="E42">
        <v>1</v>
      </c>
      <c r="F42">
        <v>1</v>
      </c>
      <c r="G42">
        <v>1</v>
      </c>
      <c r="H42">
        <v>2</v>
      </c>
      <c r="I42" t="s">
        <v>498</v>
      </c>
      <c r="J42" t="s">
        <v>499</v>
      </c>
      <c r="K42" t="s">
        <v>500</v>
      </c>
      <c r="L42">
        <v>45811227</v>
      </c>
      <c r="N42">
        <v>1013</v>
      </c>
      <c r="O42" t="s">
        <v>452</v>
      </c>
      <c r="P42" t="s">
        <v>452</v>
      </c>
      <c r="Q42">
        <v>1</v>
      </c>
      <c r="X42">
        <v>2.46</v>
      </c>
      <c r="Y42">
        <v>0</v>
      </c>
      <c r="Z42">
        <v>89.81</v>
      </c>
      <c r="AA42">
        <v>9.8800000000000008</v>
      </c>
      <c r="AB42">
        <v>0</v>
      </c>
      <c r="AC42">
        <v>0</v>
      </c>
      <c r="AD42">
        <v>1</v>
      </c>
      <c r="AE42">
        <v>0</v>
      </c>
      <c r="AF42" t="s">
        <v>61</v>
      </c>
      <c r="AG42">
        <v>3.0750000000000002</v>
      </c>
      <c r="AH42">
        <v>2</v>
      </c>
      <c r="AI42">
        <v>50211694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ROW(Source!A117)</f>
        <v>117</v>
      </c>
      <c r="B43">
        <v>50211703</v>
      </c>
      <c r="C43">
        <v>50211691</v>
      </c>
      <c r="D43">
        <v>45811709</v>
      </c>
      <c r="E43">
        <v>1</v>
      </c>
      <c r="F43">
        <v>1</v>
      </c>
      <c r="G43">
        <v>1</v>
      </c>
      <c r="H43">
        <v>2</v>
      </c>
      <c r="I43" t="s">
        <v>468</v>
      </c>
      <c r="J43" t="s">
        <v>469</v>
      </c>
      <c r="K43" t="s">
        <v>470</v>
      </c>
      <c r="L43">
        <v>45811227</v>
      </c>
      <c r="N43">
        <v>1013</v>
      </c>
      <c r="O43" t="s">
        <v>452</v>
      </c>
      <c r="P43" t="s">
        <v>452</v>
      </c>
      <c r="Q43">
        <v>1</v>
      </c>
      <c r="X43">
        <v>2.59</v>
      </c>
      <c r="Y43">
        <v>0</v>
      </c>
      <c r="Z43">
        <v>79.75</v>
      </c>
      <c r="AA43">
        <v>13.26</v>
      </c>
      <c r="AB43">
        <v>0</v>
      </c>
      <c r="AC43">
        <v>0</v>
      </c>
      <c r="AD43">
        <v>1</v>
      </c>
      <c r="AE43">
        <v>0</v>
      </c>
      <c r="AF43" t="s">
        <v>61</v>
      </c>
      <c r="AG43">
        <v>3.2374999999999998</v>
      </c>
      <c r="AH43">
        <v>2</v>
      </c>
      <c r="AI43">
        <v>50211695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ROW(Source!A117)</f>
        <v>117</v>
      </c>
      <c r="B44">
        <v>50211704</v>
      </c>
      <c r="C44">
        <v>50211691</v>
      </c>
      <c r="D44">
        <v>45811921</v>
      </c>
      <c r="E44">
        <v>1</v>
      </c>
      <c r="F44">
        <v>1</v>
      </c>
      <c r="G44">
        <v>1</v>
      </c>
      <c r="H44">
        <v>2</v>
      </c>
      <c r="I44" t="s">
        <v>501</v>
      </c>
      <c r="J44" t="s">
        <v>502</v>
      </c>
      <c r="K44" t="s">
        <v>503</v>
      </c>
      <c r="L44">
        <v>45811227</v>
      </c>
      <c r="N44">
        <v>1013</v>
      </c>
      <c r="O44" t="s">
        <v>452</v>
      </c>
      <c r="P44" t="s">
        <v>452</v>
      </c>
      <c r="Q44">
        <v>1</v>
      </c>
      <c r="X44">
        <v>2.2999999999999998</v>
      </c>
      <c r="Y44">
        <v>0</v>
      </c>
      <c r="Z44">
        <v>122.76</v>
      </c>
      <c r="AA44">
        <v>13.26</v>
      </c>
      <c r="AB44">
        <v>0</v>
      </c>
      <c r="AC44">
        <v>0</v>
      </c>
      <c r="AD44">
        <v>1</v>
      </c>
      <c r="AE44">
        <v>0</v>
      </c>
      <c r="AF44" t="s">
        <v>61</v>
      </c>
      <c r="AG44">
        <v>2.875</v>
      </c>
      <c r="AH44">
        <v>2</v>
      </c>
      <c r="AI44">
        <v>50211696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ROW(Source!A117)</f>
        <v>117</v>
      </c>
      <c r="B45">
        <v>50211705</v>
      </c>
      <c r="C45">
        <v>50211691</v>
      </c>
      <c r="D45">
        <v>45811951</v>
      </c>
      <c r="E45">
        <v>1</v>
      </c>
      <c r="F45">
        <v>1</v>
      </c>
      <c r="G45">
        <v>1</v>
      </c>
      <c r="H45">
        <v>2</v>
      </c>
      <c r="I45" t="s">
        <v>504</v>
      </c>
      <c r="J45" t="s">
        <v>505</v>
      </c>
      <c r="K45" t="s">
        <v>506</v>
      </c>
      <c r="L45">
        <v>45811227</v>
      </c>
      <c r="N45">
        <v>1013</v>
      </c>
      <c r="O45" t="s">
        <v>452</v>
      </c>
      <c r="P45" t="s">
        <v>452</v>
      </c>
      <c r="Q45">
        <v>1</v>
      </c>
      <c r="X45">
        <v>12.21</v>
      </c>
      <c r="Y45">
        <v>0</v>
      </c>
      <c r="Z45">
        <v>205.75</v>
      </c>
      <c r="AA45">
        <v>14.14</v>
      </c>
      <c r="AB45">
        <v>0</v>
      </c>
      <c r="AC45">
        <v>0</v>
      </c>
      <c r="AD45">
        <v>1</v>
      </c>
      <c r="AE45">
        <v>0</v>
      </c>
      <c r="AF45" t="s">
        <v>61</v>
      </c>
      <c r="AG45">
        <v>15.262500000000001</v>
      </c>
      <c r="AH45">
        <v>2</v>
      </c>
      <c r="AI45">
        <v>50211697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ROW(Source!A117)</f>
        <v>117</v>
      </c>
      <c r="B46">
        <v>50211706</v>
      </c>
      <c r="C46">
        <v>50211691</v>
      </c>
      <c r="D46">
        <v>45812009</v>
      </c>
      <c r="E46">
        <v>1</v>
      </c>
      <c r="F46">
        <v>1</v>
      </c>
      <c r="G46">
        <v>1</v>
      </c>
      <c r="H46">
        <v>2</v>
      </c>
      <c r="I46" t="s">
        <v>479</v>
      </c>
      <c r="J46" t="s">
        <v>480</v>
      </c>
      <c r="K46" t="s">
        <v>481</v>
      </c>
      <c r="L46">
        <v>45811227</v>
      </c>
      <c r="N46">
        <v>1013</v>
      </c>
      <c r="O46" t="s">
        <v>452</v>
      </c>
      <c r="P46" t="s">
        <v>452</v>
      </c>
      <c r="Q46">
        <v>1</v>
      </c>
      <c r="X46">
        <v>1.04</v>
      </c>
      <c r="Y46">
        <v>0</v>
      </c>
      <c r="Z46">
        <v>110</v>
      </c>
      <c r="AA46">
        <v>11.38</v>
      </c>
      <c r="AB46">
        <v>0</v>
      </c>
      <c r="AC46">
        <v>0</v>
      </c>
      <c r="AD46">
        <v>1</v>
      </c>
      <c r="AE46">
        <v>0</v>
      </c>
      <c r="AF46" t="s">
        <v>61</v>
      </c>
      <c r="AG46">
        <v>1.3</v>
      </c>
      <c r="AH46">
        <v>2</v>
      </c>
      <c r="AI46">
        <v>50211698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ROW(Source!A117)</f>
        <v>117</v>
      </c>
      <c r="B47">
        <v>50211707</v>
      </c>
      <c r="C47">
        <v>50211691</v>
      </c>
      <c r="D47">
        <v>45865150</v>
      </c>
      <c r="E47">
        <v>1</v>
      </c>
      <c r="F47">
        <v>1</v>
      </c>
      <c r="G47">
        <v>1</v>
      </c>
      <c r="H47">
        <v>3</v>
      </c>
      <c r="I47" t="s">
        <v>650</v>
      </c>
      <c r="J47" t="s">
        <v>651</v>
      </c>
      <c r="K47" t="s">
        <v>652</v>
      </c>
      <c r="L47">
        <v>1339</v>
      </c>
      <c r="N47">
        <v>1007</v>
      </c>
      <c r="O47" t="s">
        <v>153</v>
      </c>
      <c r="P47" t="s">
        <v>153</v>
      </c>
      <c r="Q47">
        <v>1</v>
      </c>
      <c r="X47">
        <v>0</v>
      </c>
      <c r="Y47">
        <v>0</v>
      </c>
      <c r="Z47">
        <v>0</v>
      </c>
      <c r="AA47">
        <v>0</v>
      </c>
      <c r="AB47">
        <v>0</v>
      </c>
      <c r="AC47">
        <v>1</v>
      </c>
      <c r="AD47">
        <v>0</v>
      </c>
      <c r="AE47">
        <v>0</v>
      </c>
      <c r="AF47" t="s">
        <v>3</v>
      </c>
      <c r="AG47">
        <v>0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ROW(Source!A117)</f>
        <v>117</v>
      </c>
      <c r="B48">
        <v>50211708</v>
      </c>
      <c r="C48">
        <v>50211691</v>
      </c>
      <c r="D48">
        <v>45865353</v>
      </c>
      <c r="E48">
        <v>1</v>
      </c>
      <c r="F48">
        <v>1</v>
      </c>
      <c r="G48">
        <v>1</v>
      </c>
      <c r="H48">
        <v>3</v>
      </c>
      <c r="I48" t="s">
        <v>488</v>
      </c>
      <c r="J48" t="s">
        <v>489</v>
      </c>
      <c r="K48" t="s">
        <v>490</v>
      </c>
      <c r="L48">
        <v>1339</v>
      </c>
      <c r="N48">
        <v>1007</v>
      </c>
      <c r="O48" t="s">
        <v>153</v>
      </c>
      <c r="P48" t="s">
        <v>153</v>
      </c>
      <c r="Q48">
        <v>1</v>
      </c>
      <c r="X48">
        <v>7</v>
      </c>
      <c r="Y48">
        <v>2.2599999999999998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7</v>
      </c>
      <c r="AH48">
        <v>2</v>
      </c>
      <c r="AI48">
        <v>50211699</v>
      </c>
      <c r="AJ48">
        <v>47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ROW(Source!A118)</f>
        <v>118</v>
      </c>
      <c r="B49">
        <v>50211713</v>
      </c>
      <c r="C49">
        <v>50211709</v>
      </c>
      <c r="D49">
        <v>121548</v>
      </c>
      <c r="E49">
        <v>1</v>
      </c>
      <c r="F49">
        <v>1</v>
      </c>
      <c r="G49">
        <v>1</v>
      </c>
      <c r="H49">
        <v>1</v>
      </c>
      <c r="I49" t="s">
        <v>25</v>
      </c>
      <c r="J49" t="s">
        <v>3</v>
      </c>
      <c r="K49" t="s">
        <v>463</v>
      </c>
      <c r="L49">
        <v>608254</v>
      </c>
      <c r="N49">
        <v>1013</v>
      </c>
      <c r="O49" t="s">
        <v>464</v>
      </c>
      <c r="P49" t="s">
        <v>464</v>
      </c>
      <c r="Q49">
        <v>1</v>
      </c>
      <c r="X49">
        <v>0.66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2</v>
      </c>
      <c r="AF49" t="s">
        <v>11</v>
      </c>
      <c r="AG49">
        <v>0.82500000000000007</v>
      </c>
      <c r="AH49">
        <v>2</v>
      </c>
      <c r="AI49">
        <v>50211710</v>
      </c>
      <c r="AJ49">
        <v>48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ROW(Source!A118)</f>
        <v>118</v>
      </c>
      <c r="B50">
        <v>50211714</v>
      </c>
      <c r="C50">
        <v>50211709</v>
      </c>
      <c r="D50">
        <v>45811915</v>
      </c>
      <c r="E50">
        <v>1</v>
      </c>
      <c r="F50">
        <v>1</v>
      </c>
      <c r="G50">
        <v>1</v>
      </c>
      <c r="H50">
        <v>2</v>
      </c>
      <c r="I50" t="s">
        <v>509</v>
      </c>
      <c r="J50" t="s">
        <v>510</v>
      </c>
      <c r="K50" t="s">
        <v>511</v>
      </c>
      <c r="L50">
        <v>45811227</v>
      </c>
      <c r="N50">
        <v>1013</v>
      </c>
      <c r="O50" t="s">
        <v>452</v>
      </c>
      <c r="P50" t="s">
        <v>452</v>
      </c>
      <c r="Q50">
        <v>1</v>
      </c>
      <c r="X50">
        <v>0.33</v>
      </c>
      <c r="Y50">
        <v>0</v>
      </c>
      <c r="Z50">
        <v>119.57</v>
      </c>
      <c r="AA50">
        <v>21.26</v>
      </c>
      <c r="AB50">
        <v>0</v>
      </c>
      <c r="AC50">
        <v>0</v>
      </c>
      <c r="AD50">
        <v>1</v>
      </c>
      <c r="AE50">
        <v>0</v>
      </c>
      <c r="AF50" t="s">
        <v>11</v>
      </c>
      <c r="AG50">
        <v>0.41250000000000003</v>
      </c>
      <c r="AH50">
        <v>2</v>
      </c>
      <c r="AI50">
        <v>50211711</v>
      </c>
      <c r="AJ50">
        <v>49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ROW(Source!A118)</f>
        <v>118</v>
      </c>
      <c r="B51">
        <v>50211715</v>
      </c>
      <c r="C51">
        <v>50211709</v>
      </c>
      <c r="D51">
        <v>45816049</v>
      </c>
      <c r="E51">
        <v>1</v>
      </c>
      <c r="F51">
        <v>1</v>
      </c>
      <c r="G51">
        <v>1</v>
      </c>
      <c r="H51">
        <v>3</v>
      </c>
      <c r="I51" t="s">
        <v>512</v>
      </c>
      <c r="J51" t="s">
        <v>513</v>
      </c>
      <c r="K51" t="s">
        <v>514</v>
      </c>
      <c r="L51">
        <v>1348</v>
      </c>
      <c r="N51">
        <v>1009</v>
      </c>
      <c r="O51" t="s">
        <v>190</v>
      </c>
      <c r="P51" t="s">
        <v>190</v>
      </c>
      <c r="Q51">
        <v>1000</v>
      </c>
      <c r="X51">
        <v>1.03</v>
      </c>
      <c r="Y51">
        <v>1424.35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1.03</v>
      </c>
      <c r="AH51">
        <v>2</v>
      </c>
      <c r="AI51">
        <v>50211712</v>
      </c>
      <c r="AJ51">
        <v>50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ROW(Source!A119)</f>
        <v>119</v>
      </c>
      <c r="B52">
        <v>50211731</v>
      </c>
      <c r="C52">
        <v>50211716</v>
      </c>
      <c r="D52">
        <v>45967552</v>
      </c>
      <c r="E52">
        <v>1</v>
      </c>
      <c r="F52">
        <v>1</v>
      </c>
      <c r="G52">
        <v>1</v>
      </c>
      <c r="H52">
        <v>1</v>
      </c>
      <c r="I52" t="s">
        <v>515</v>
      </c>
      <c r="J52" t="s">
        <v>3</v>
      </c>
      <c r="K52" t="s">
        <v>516</v>
      </c>
      <c r="L52">
        <v>1476</v>
      </c>
      <c r="N52">
        <v>1013</v>
      </c>
      <c r="O52" t="s">
        <v>447</v>
      </c>
      <c r="P52" t="s">
        <v>448</v>
      </c>
      <c r="Q52">
        <v>1</v>
      </c>
      <c r="X52">
        <v>38.299999999999997</v>
      </c>
      <c r="Y52">
        <v>0</v>
      </c>
      <c r="Z52">
        <v>0</v>
      </c>
      <c r="AA52">
        <v>0</v>
      </c>
      <c r="AB52">
        <v>7.83</v>
      </c>
      <c r="AC52">
        <v>0</v>
      </c>
      <c r="AD52">
        <v>1</v>
      </c>
      <c r="AE52">
        <v>1</v>
      </c>
      <c r="AF52" t="s">
        <v>62</v>
      </c>
      <c r="AG52">
        <v>44.044999999999995</v>
      </c>
      <c r="AH52">
        <v>2</v>
      </c>
      <c r="AI52">
        <v>50211717</v>
      </c>
      <c r="AJ52">
        <v>51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ROW(Source!A119)</f>
        <v>119</v>
      </c>
      <c r="B53">
        <v>50211732</v>
      </c>
      <c r="C53">
        <v>50211716</v>
      </c>
      <c r="D53">
        <v>121548</v>
      </c>
      <c r="E53">
        <v>1</v>
      </c>
      <c r="F53">
        <v>1</v>
      </c>
      <c r="G53">
        <v>1</v>
      </c>
      <c r="H53">
        <v>1</v>
      </c>
      <c r="I53" t="s">
        <v>25</v>
      </c>
      <c r="J53" t="s">
        <v>3</v>
      </c>
      <c r="K53" t="s">
        <v>463</v>
      </c>
      <c r="L53">
        <v>608254</v>
      </c>
      <c r="N53">
        <v>1013</v>
      </c>
      <c r="O53" t="s">
        <v>464</v>
      </c>
      <c r="P53" t="s">
        <v>464</v>
      </c>
      <c r="Q53">
        <v>1</v>
      </c>
      <c r="X53">
        <v>19.100000000000001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2</v>
      </c>
      <c r="AF53" t="s">
        <v>61</v>
      </c>
      <c r="AG53">
        <v>23.875</v>
      </c>
      <c r="AH53">
        <v>2</v>
      </c>
      <c r="AI53">
        <v>50211718</v>
      </c>
      <c r="AJ53">
        <v>52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ROW(Source!A119)</f>
        <v>119</v>
      </c>
      <c r="B54">
        <v>50211733</v>
      </c>
      <c r="C54">
        <v>50211716</v>
      </c>
      <c r="D54">
        <v>45811353</v>
      </c>
      <c r="E54">
        <v>1</v>
      </c>
      <c r="F54">
        <v>1</v>
      </c>
      <c r="G54">
        <v>1</v>
      </c>
      <c r="H54">
        <v>2</v>
      </c>
      <c r="I54" t="s">
        <v>517</v>
      </c>
      <c r="J54" t="s">
        <v>518</v>
      </c>
      <c r="K54" t="s">
        <v>519</v>
      </c>
      <c r="L54">
        <v>45811227</v>
      </c>
      <c r="N54">
        <v>1013</v>
      </c>
      <c r="O54" t="s">
        <v>452</v>
      </c>
      <c r="P54" t="s">
        <v>452</v>
      </c>
      <c r="Q54">
        <v>1</v>
      </c>
      <c r="X54">
        <v>0.05</v>
      </c>
      <c r="Y54">
        <v>0</v>
      </c>
      <c r="Z54">
        <v>111.75</v>
      </c>
      <c r="AA54">
        <v>13.26</v>
      </c>
      <c r="AB54">
        <v>0</v>
      </c>
      <c r="AC54">
        <v>0</v>
      </c>
      <c r="AD54">
        <v>1</v>
      </c>
      <c r="AE54">
        <v>0</v>
      </c>
      <c r="AF54" t="s">
        <v>61</v>
      </c>
      <c r="AG54">
        <v>6.25E-2</v>
      </c>
      <c r="AH54">
        <v>2</v>
      </c>
      <c r="AI54">
        <v>50211719</v>
      </c>
      <c r="AJ54">
        <v>53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ROW(Source!A119)</f>
        <v>119</v>
      </c>
      <c r="B55">
        <v>50211734</v>
      </c>
      <c r="C55">
        <v>50211716</v>
      </c>
      <c r="D55">
        <v>45811928</v>
      </c>
      <c r="E55">
        <v>1</v>
      </c>
      <c r="F55">
        <v>1</v>
      </c>
      <c r="G55">
        <v>1</v>
      </c>
      <c r="H55">
        <v>2</v>
      </c>
      <c r="I55" t="s">
        <v>520</v>
      </c>
      <c r="J55" t="s">
        <v>521</v>
      </c>
      <c r="K55" t="s">
        <v>522</v>
      </c>
      <c r="L55">
        <v>45811227</v>
      </c>
      <c r="N55">
        <v>1013</v>
      </c>
      <c r="O55" t="s">
        <v>452</v>
      </c>
      <c r="P55" t="s">
        <v>452</v>
      </c>
      <c r="Q55">
        <v>1</v>
      </c>
      <c r="X55">
        <v>1.4</v>
      </c>
      <c r="Y55">
        <v>0</v>
      </c>
      <c r="Z55">
        <v>17.2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61</v>
      </c>
      <c r="AG55">
        <v>1.75</v>
      </c>
      <c r="AH55">
        <v>2</v>
      </c>
      <c r="AI55">
        <v>50211720</v>
      </c>
      <c r="AJ55">
        <v>54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ROW(Source!A119)</f>
        <v>119</v>
      </c>
      <c r="B56">
        <v>50211735</v>
      </c>
      <c r="C56">
        <v>50211716</v>
      </c>
      <c r="D56">
        <v>45811946</v>
      </c>
      <c r="E56">
        <v>1</v>
      </c>
      <c r="F56">
        <v>1</v>
      </c>
      <c r="G56">
        <v>1</v>
      </c>
      <c r="H56">
        <v>2</v>
      </c>
      <c r="I56" t="s">
        <v>523</v>
      </c>
      <c r="J56" t="s">
        <v>524</v>
      </c>
      <c r="K56" t="s">
        <v>525</v>
      </c>
      <c r="L56">
        <v>45811227</v>
      </c>
      <c r="N56">
        <v>1013</v>
      </c>
      <c r="O56" t="s">
        <v>452</v>
      </c>
      <c r="P56" t="s">
        <v>452</v>
      </c>
      <c r="Q56">
        <v>1</v>
      </c>
      <c r="X56">
        <v>3.96</v>
      </c>
      <c r="Y56">
        <v>0</v>
      </c>
      <c r="Z56">
        <v>74.78</v>
      </c>
      <c r="AA56">
        <v>11.38</v>
      </c>
      <c r="AB56">
        <v>0</v>
      </c>
      <c r="AC56">
        <v>0</v>
      </c>
      <c r="AD56">
        <v>1</v>
      </c>
      <c r="AE56">
        <v>0</v>
      </c>
      <c r="AF56" t="s">
        <v>61</v>
      </c>
      <c r="AG56">
        <v>4.95</v>
      </c>
      <c r="AH56">
        <v>2</v>
      </c>
      <c r="AI56">
        <v>50211721</v>
      </c>
      <c r="AJ56">
        <v>55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ROW(Source!A119)</f>
        <v>119</v>
      </c>
      <c r="B57">
        <v>50211736</v>
      </c>
      <c r="C57">
        <v>50211716</v>
      </c>
      <c r="D57">
        <v>45811947</v>
      </c>
      <c r="E57">
        <v>1</v>
      </c>
      <c r="F57">
        <v>1</v>
      </c>
      <c r="G57">
        <v>1</v>
      </c>
      <c r="H57">
        <v>2</v>
      </c>
      <c r="I57" t="s">
        <v>526</v>
      </c>
      <c r="J57" t="s">
        <v>527</v>
      </c>
      <c r="K57" t="s">
        <v>528</v>
      </c>
      <c r="L57">
        <v>45811227</v>
      </c>
      <c r="N57">
        <v>1013</v>
      </c>
      <c r="O57" t="s">
        <v>452</v>
      </c>
      <c r="P57" t="s">
        <v>452</v>
      </c>
      <c r="Q57">
        <v>1</v>
      </c>
      <c r="X57">
        <v>11.51</v>
      </c>
      <c r="Y57">
        <v>0</v>
      </c>
      <c r="Z57">
        <v>120.74</v>
      </c>
      <c r="AA57">
        <v>14.14</v>
      </c>
      <c r="AB57">
        <v>0</v>
      </c>
      <c r="AC57">
        <v>0</v>
      </c>
      <c r="AD57">
        <v>1</v>
      </c>
      <c r="AE57">
        <v>0</v>
      </c>
      <c r="AF57" t="s">
        <v>61</v>
      </c>
      <c r="AG57">
        <v>14.387499999999999</v>
      </c>
      <c r="AH57">
        <v>2</v>
      </c>
      <c r="AI57">
        <v>50211722</v>
      </c>
      <c r="AJ57">
        <v>56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ROW(Source!A119)</f>
        <v>119</v>
      </c>
      <c r="B58">
        <v>50211737</v>
      </c>
      <c r="C58">
        <v>50211716</v>
      </c>
      <c r="D58">
        <v>45812009</v>
      </c>
      <c r="E58">
        <v>1</v>
      </c>
      <c r="F58">
        <v>1</v>
      </c>
      <c r="G58">
        <v>1</v>
      </c>
      <c r="H58">
        <v>2</v>
      </c>
      <c r="I58" t="s">
        <v>479</v>
      </c>
      <c r="J58" t="s">
        <v>480</v>
      </c>
      <c r="K58" t="s">
        <v>481</v>
      </c>
      <c r="L58">
        <v>45811227</v>
      </c>
      <c r="N58">
        <v>1013</v>
      </c>
      <c r="O58" t="s">
        <v>452</v>
      </c>
      <c r="P58" t="s">
        <v>452</v>
      </c>
      <c r="Q58">
        <v>1</v>
      </c>
      <c r="X58">
        <v>0.39</v>
      </c>
      <c r="Y58">
        <v>0</v>
      </c>
      <c r="Z58">
        <v>110</v>
      </c>
      <c r="AA58">
        <v>11.38</v>
      </c>
      <c r="AB58">
        <v>0</v>
      </c>
      <c r="AC58">
        <v>0</v>
      </c>
      <c r="AD58">
        <v>1</v>
      </c>
      <c r="AE58">
        <v>0</v>
      </c>
      <c r="AF58" t="s">
        <v>61</v>
      </c>
      <c r="AG58">
        <v>0.48750000000000004</v>
      </c>
      <c r="AH58">
        <v>2</v>
      </c>
      <c r="AI58">
        <v>50211723</v>
      </c>
      <c r="AJ58">
        <v>57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ROW(Source!A119)</f>
        <v>119</v>
      </c>
      <c r="B59">
        <v>50211738</v>
      </c>
      <c r="C59">
        <v>50211716</v>
      </c>
      <c r="D59">
        <v>45812032</v>
      </c>
      <c r="E59">
        <v>1</v>
      </c>
      <c r="F59">
        <v>1</v>
      </c>
      <c r="G59">
        <v>1</v>
      </c>
      <c r="H59">
        <v>2</v>
      </c>
      <c r="I59" t="s">
        <v>529</v>
      </c>
      <c r="J59" t="s">
        <v>530</v>
      </c>
      <c r="K59" t="s">
        <v>531</v>
      </c>
      <c r="L59">
        <v>45811227</v>
      </c>
      <c r="N59">
        <v>1013</v>
      </c>
      <c r="O59" t="s">
        <v>452</v>
      </c>
      <c r="P59" t="s">
        <v>452</v>
      </c>
      <c r="Q59">
        <v>1</v>
      </c>
      <c r="X59">
        <v>3.19</v>
      </c>
      <c r="Y59">
        <v>0</v>
      </c>
      <c r="Z59">
        <v>194.94</v>
      </c>
      <c r="AA59">
        <v>14.14</v>
      </c>
      <c r="AB59">
        <v>0</v>
      </c>
      <c r="AC59">
        <v>0</v>
      </c>
      <c r="AD59">
        <v>1</v>
      </c>
      <c r="AE59">
        <v>0</v>
      </c>
      <c r="AF59" t="s">
        <v>61</v>
      </c>
      <c r="AG59">
        <v>3.9874999999999998</v>
      </c>
      <c r="AH59">
        <v>2</v>
      </c>
      <c r="AI59">
        <v>50211724</v>
      </c>
      <c r="AJ59">
        <v>58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ROW(Source!A119)</f>
        <v>119</v>
      </c>
      <c r="B60">
        <v>50211739</v>
      </c>
      <c r="C60">
        <v>50211716</v>
      </c>
      <c r="D60">
        <v>45813321</v>
      </c>
      <c r="E60">
        <v>1</v>
      </c>
      <c r="F60">
        <v>1</v>
      </c>
      <c r="G60">
        <v>1</v>
      </c>
      <c r="H60">
        <v>2</v>
      </c>
      <c r="I60" t="s">
        <v>532</v>
      </c>
      <c r="J60" t="s">
        <v>533</v>
      </c>
      <c r="K60" t="s">
        <v>534</v>
      </c>
      <c r="L60">
        <v>45811227</v>
      </c>
      <c r="N60">
        <v>1013</v>
      </c>
      <c r="O60" t="s">
        <v>452</v>
      </c>
      <c r="P60" t="s">
        <v>452</v>
      </c>
      <c r="Q60">
        <v>1</v>
      </c>
      <c r="X60">
        <v>0.08</v>
      </c>
      <c r="Y60">
        <v>0</v>
      </c>
      <c r="Z60">
        <v>86.55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61</v>
      </c>
      <c r="AG60">
        <v>0.1</v>
      </c>
      <c r="AH60">
        <v>2</v>
      </c>
      <c r="AI60">
        <v>50211725</v>
      </c>
      <c r="AJ60">
        <v>59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ROW(Source!A119)</f>
        <v>119</v>
      </c>
      <c r="B61">
        <v>50211740</v>
      </c>
      <c r="C61">
        <v>50211716</v>
      </c>
      <c r="D61">
        <v>45814627</v>
      </c>
      <c r="E61">
        <v>1</v>
      </c>
      <c r="F61">
        <v>1</v>
      </c>
      <c r="G61">
        <v>1</v>
      </c>
      <c r="H61">
        <v>3</v>
      </c>
      <c r="I61" t="s">
        <v>535</v>
      </c>
      <c r="J61" t="s">
        <v>536</v>
      </c>
      <c r="K61" t="s">
        <v>537</v>
      </c>
      <c r="L61">
        <v>1348</v>
      </c>
      <c r="N61">
        <v>1009</v>
      </c>
      <c r="O61" t="s">
        <v>190</v>
      </c>
      <c r="P61" t="s">
        <v>190</v>
      </c>
      <c r="Q61">
        <v>1000</v>
      </c>
      <c r="X61">
        <v>2.7799999999999999E-3</v>
      </c>
      <c r="Y61">
        <v>2407.44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2.7799999999999999E-3</v>
      </c>
      <c r="AH61">
        <v>2</v>
      </c>
      <c r="AI61">
        <v>50211726</v>
      </c>
      <c r="AJ61">
        <v>60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ROW(Source!A119)</f>
        <v>119</v>
      </c>
      <c r="B62">
        <v>50211741</v>
      </c>
      <c r="C62">
        <v>50211716</v>
      </c>
      <c r="D62">
        <v>45815194</v>
      </c>
      <c r="E62">
        <v>1</v>
      </c>
      <c r="F62">
        <v>1</v>
      </c>
      <c r="G62">
        <v>1</v>
      </c>
      <c r="H62">
        <v>3</v>
      </c>
      <c r="I62" t="s">
        <v>538</v>
      </c>
      <c r="J62" t="s">
        <v>539</v>
      </c>
      <c r="K62" t="s">
        <v>540</v>
      </c>
      <c r="L62">
        <v>1348</v>
      </c>
      <c r="N62">
        <v>1009</v>
      </c>
      <c r="O62" t="s">
        <v>190</v>
      </c>
      <c r="P62" t="s">
        <v>190</v>
      </c>
      <c r="Q62">
        <v>1000</v>
      </c>
      <c r="X62">
        <v>2.14E-3</v>
      </c>
      <c r="Y62">
        <v>5469.5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2.14E-3</v>
      </c>
      <c r="AH62">
        <v>2</v>
      </c>
      <c r="AI62">
        <v>50211727</v>
      </c>
      <c r="AJ62">
        <v>61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ROW(Source!A119)</f>
        <v>119</v>
      </c>
      <c r="B63">
        <v>50211742</v>
      </c>
      <c r="C63">
        <v>50211716</v>
      </c>
      <c r="D63">
        <v>45816047</v>
      </c>
      <c r="E63">
        <v>1</v>
      </c>
      <c r="F63">
        <v>1</v>
      </c>
      <c r="G63">
        <v>1</v>
      </c>
      <c r="H63">
        <v>3</v>
      </c>
      <c r="I63" t="s">
        <v>541</v>
      </c>
      <c r="J63" t="s">
        <v>542</v>
      </c>
      <c r="K63" t="s">
        <v>543</v>
      </c>
      <c r="L63">
        <v>1348</v>
      </c>
      <c r="N63">
        <v>1009</v>
      </c>
      <c r="O63" t="s">
        <v>190</v>
      </c>
      <c r="P63" t="s">
        <v>190</v>
      </c>
      <c r="Q63">
        <v>1000</v>
      </c>
      <c r="X63">
        <v>1.0800000000000001E-2</v>
      </c>
      <c r="Y63">
        <v>1559.03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1.0800000000000001E-2</v>
      </c>
      <c r="AH63">
        <v>2</v>
      </c>
      <c r="AI63">
        <v>50211728</v>
      </c>
      <c r="AJ63">
        <v>62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ROW(Source!A119)</f>
        <v>119</v>
      </c>
      <c r="B64">
        <v>50211743</v>
      </c>
      <c r="C64">
        <v>50211716</v>
      </c>
      <c r="D64">
        <v>45823092</v>
      </c>
      <c r="E64">
        <v>1</v>
      </c>
      <c r="F64">
        <v>1</v>
      </c>
      <c r="G64">
        <v>1</v>
      </c>
      <c r="H64">
        <v>3</v>
      </c>
      <c r="I64" t="s">
        <v>544</v>
      </c>
      <c r="J64" t="s">
        <v>545</v>
      </c>
      <c r="K64" t="s">
        <v>546</v>
      </c>
      <c r="L64">
        <v>1339</v>
      </c>
      <c r="N64">
        <v>1007</v>
      </c>
      <c r="O64" t="s">
        <v>153</v>
      </c>
      <c r="P64" t="s">
        <v>153</v>
      </c>
      <c r="Q64">
        <v>1</v>
      </c>
      <c r="X64">
        <v>0.28999999999999998</v>
      </c>
      <c r="Y64">
        <v>1173.28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0.28999999999999998</v>
      </c>
      <c r="AH64">
        <v>2</v>
      </c>
      <c r="AI64">
        <v>50211729</v>
      </c>
      <c r="AJ64">
        <v>63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ROW(Source!A119)</f>
        <v>119</v>
      </c>
      <c r="B65">
        <v>50211744</v>
      </c>
      <c r="C65">
        <v>50211716</v>
      </c>
      <c r="D65">
        <v>45865283</v>
      </c>
      <c r="E65">
        <v>1</v>
      </c>
      <c r="F65">
        <v>1</v>
      </c>
      <c r="G65">
        <v>1</v>
      </c>
      <c r="H65">
        <v>3</v>
      </c>
      <c r="I65" t="s">
        <v>547</v>
      </c>
      <c r="J65" t="s">
        <v>548</v>
      </c>
      <c r="K65" t="s">
        <v>549</v>
      </c>
      <c r="L65">
        <v>1348</v>
      </c>
      <c r="N65">
        <v>1009</v>
      </c>
      <c r="O65" t="s">
        <v>190</v>
      </c>
      <c r="P65" t="s">
        <v>190</v>
      </c>
      <c r="Q65">
        <v>1000</v>
      </c>
      <c r="X65">
        <v>93.7</v>
      </c>
      <c r="Y65">
        <v>432.35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93.7</v>
      </c>
      <c r="AH65">
        <v>2</v>
      </c>
      <c r="AI65">
        <v>50211730</v>
      </c>
      <c r="AJ65">
        <v>64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ROW(Source!A120)</f>
        <v>120</v>
      </c>
      <c r="B66">
        <v>50211749</v>
      </c>
      <c r="C66">
        <v>50211745</v>
      </c>
      <c r="D66">
        <v>45967552</v>
      </c>
      <c r="E66">
        <v>1</v>
      </c>
      <c r="F66">
        <v>1</v>
      </c>
      <c r="G66">
        <v>1</v>
      </c>
      <c r="H66">
        <v>1</v>
      </c>
      <c r="I66" t="s">
        <v>515</v>
      </c>
      <c r="J66" t="s">
        <v>3</v>
      </c>
      <c r="K66" t="s">
        <v>516</v>
      </c>
      <c r="L66">
        <v>1476</v>
      </c>
      <c r="N66">
        <v>1013</v>
      </c>
      <c r="O66" t="s">
        <v>447</v>
      </c>
      <c r="P66" t="s">
        <v>448</v>
      </c>
      <c r="Q66">
        <v>1</v>
      </c>
      <c r="X66">
        <v>0.09</v>
      </c>
      <c r="Y66">
        <v>0</v>
      </c>
      <c r="Z66">
        <v>0</v>
      </c>
      <c r="AA66">
        <v>0</v>
      </c>
      <c r="AB66">
        <v>7.83</v>
      </c>
      <c r="AC66">
        <v>0</v>
      </c>
      <c r="AD66">
        <v>1</v>
      </c>
      <c r="AE66">
        <v>1</v>
      </c>
      <c r="AF66" t="s">
        <v>181</v>
      </c>
      <c r="AG66">
        <v>0.20699999999999999</v>
      </c>
      <c r="AH66">
        <v>2</v>
      </c>
      <c r="AI66">
        <v>50211746</v>
      </c>
      <c r="AJ66">
        <v>65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ROW(Source!A120)</f>
        <v>120</v>
      </c>
      <c r="B67">
        <v>50211750</v>
      </c>
      <c r="C67">
        <v>50211745</v>
      </c>
      <c r="D67">
        <v>45816047</v>
      </c>
      <c r="E67">
        <v>1</v>
      </c>
      <c r="F67">
        <v>1</v>
      </c>
      <c r="G67">
        <v>1</v>
      </c>
      <c r="H67">
        <v>3</v>
      </c>
      <c r="I67" t="s">
        <v>541</v>
      </c>
      <c r="J67" t="s">
        <v>542</v>
      </c>
      <c r="K67" t="s">
        <v>543</v>
      </c>
      <c r="L67">
        <v>1348</v>
      </c>
      <c r="N67">
        <v>1009</v>
      </c>
      <c r="O67" t="s">
        <v>190</v>
      </c>
      <c r="P67" t="s">
        <v>190</v>
      </c>
      <c r="Q67">
        <v>1000</v>
      </c>
      <c r="X67">
        <v>1.4E-3</v>
      </c>
      <c r="Y67">
        <v>1559.03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179</v>
      </c>
      <c r="AG67">
        <v>2.8E-3</v>
      </c>
      <c r="AH67">
        <v>2</v>
      </c>
      <c r="AI67">
        <v>50211747</v>
      </c>
      <c r="AJ67">
        <v>66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ROW(Source!A120)</f>
        <v>120</v>
      </c>
      <c r="B68">
        <v>50211751</v>
      </c>
      <c r="C68">
        <v>50211745</v>
      </c>
      <c r="D68">
        <v>45865283</v>
      </c>
      <c r="E68">
        <v>1</v>
      </c>
      <c r="F68">
        <v>1</v>
      </c>
      <c r="G68">
        <v>1</v>
      </c>
      <c r="H68">
        <v>3</v>
      </c>
      <c r="I68" t="s">
        <v>547</v>
      </c>
      <c r="J68" t="s">
        <v>548</v>
      </c>
      <c r="K68" t="s">
        <v>549</v>
      </c>
      <c r="L68">
        <v>1348</v>
      </c>
      <c r="N68">
        <v>1009</v>
      </c>
      <c r="O68" t="s">
        <v>190</v>
      </c>
      <c r="P68" t="s">
        <v>190</v>
      </c>
      <c r="Q68">
        <v>1000</v>
      </c>
      <c r="X68">
        <v>11.7</v>
      </c>
      <c r="Y68">
        <v>432.35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179</v>
      </c>
      <c r="AG68">
        <v>23.4</v>
      </c>
      <c r="AH68">
        <v>2</v>
      </c>
      <c r="AI68">
        <v>50211748</v>
      </c>
      <c r="AJ68">
        <v>67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ROW(Source!A121)</f>
        <v>121</v>
      </c>
      <c r="B69">
        <v>50211756</v>
      </c>
      <c r="C69">
        <v>50211752</v>
      </c>
      <c r="D69">
        <v>121548</v>
      </c>
      <c r="E69">
        <v>1</v>
      </c>
      <c r="F69">
        <v>1</v>
      </c>
      <c r="G69">
        <v>1</v>
      </c>
      <c r="H69">
        <v>1</v>
      </c>
      <c r="I69" t="s">
        <v>25</v>
      </c>
      <c r="J69" t="s">
        <v>3</v>
      </c>
      <c r="K69" t="s">
        <v>463</v>
      </c>
      <c r="L69">
        <v>608254</v>
      </c>
      <c r="N69">
        <v>1013</v>
      </c>
      <c r="O69" t="s">
        <v>464</v>
      </c>
      <c r="P69" t="s">
        <v>464</v>
      </c>
      <c r="Q69">
        <v>1</v>
      </c>
      <c r="X69">
        <v>0.66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2</v>
      </c>
      <c r="AF69" t="s">
        <v>11</v>
      </c>
      <c r="AG69">
        <v>0.82500000000000007</v>
      </c>
      <c r="AH69">
        <v>2</v>
      </c>
      <c r="AI69">
        <v>50211753</v>
      </c>
      <c r="AJ69">
        <v>68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ROW(Source!A121)</f>
        <v>121</v>
      </c>
      <c r="B70">
        <v>50211757</v>
      </c>
      <c r="C70">
        <v>50211752</v>
      </c>
      <c r="D70">
        <v>45811915</v>
      </c>
      <c r="E70">
        <v>1</v>
      </c>
      <c r="F70">
        <v>1</v>
      </c>
      <c r="G70">
        <v>1</v>
      </c>
      <c r="H70">
        <v>2</v>
      </c>
      <c r="I70" t="s">
        <v>509</v>
      </c>
      <c r="J70" t="s">
        <v>510</v>
      </c>
      <c r="K70" t="s">
        <v>511</v>
      </c>
      <c r="L70">
        <v>45811227</v>
      </c>
      <c r="N70">
        <v>1013</v>
      </c>
      <c r="O70" t="s">
        <v>452</v>
      </c>
      <c r="P70" t="s">
        <v>452</v>
      </c>
      <c r="Q70">
        <v>1</v>
      </c>
      <c r="X70">
        <v>0.33</v>
      </c>
      <c r="Y70">
        <v>0</v>
      </c>
      <c r="Z70">
        <v>119.57</v>
      </c>
      <c r="AA70">
        <v>21.26</v>
      </c>
      <c r="AB70">
        <v>0</v>
      </c>
      <c r="AC70">
        <v>0</v>
      </c>
      <c r="AD70">
        <v>1</v>
      </c>
      <c r="AE70">
        <v>0</v>
      </c>
      <c r="AF70" t="s">
        <v>11</v>
      </c>
      <c r="AG70">
        <v>0.41250000000000003</v>
      </c>
      <c r="AH70">
        <v>2</v>
      </c>
      <c r="AI70">
        <v>50211754</v>
      </c>
      <c r="AJ70">
        <v>69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ROW(Source!A121)</f>
        <v>121</v>
      </c>
      <c r="B71">
        <v>50211758</v>
      </c>
      <c r="C71">
        <v>50211752</v>
      </c>
      <c r="D71">
        <v>45816049</v>
      </c>
      <c r="E71">
        <v>1</v>
      </c>
      <c r="F71">
        <v>1</v>
      </c>
      <c r="G71">
        <v>1</v>
      </c>
      <c r="H71">
        <v>3</v>
      </c>
      <c r="I71" t="s">
        <v>512</v>
      </c>
      <c r="J71" t="s">
        <v>513</v>
      </c>
      <c r="K71" t="s">
        <v>514</v>
      </c>
      <c r="L71">
        <v>1348</v>
      </c>
      <c r="N71">
        <v>1009</v>
      </c>
      <c r="O71" t="s">
        <v>190</v>
      </c>
      <c r="P71" t="s">
        <v>190</v>
      </c>
      <c r="Q71">
        <v>1000</v>
      </c>
      <c r="X71">
        <v>1.03</v>
      </c>
      <c r="Y71">
        <v>1424.35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1.03</v>
      </c>
      <c r="AH71">
        <v>2</v>
      </c>
      <c r="AI71">
        <v>50211755</v>
      </c>
      <c r="AJ71">
        <v>70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ROW(Source!A122)</f>
        <v>122</v>
      </c>
      <c r="B72">
        <v>50211774</v>
      </c>
      <c r="C72">
        <v>50211759</v>
      </c>
      <c r="D72">
        <v>45967552</v>
      </c>
      <c r="E72">
        <v>1</v>
      </c>
      <c r="F72">
        <v>1</v>
      </c>
      <c r="G72">
        <v>1</v>
      </c>
      <c r="H72">
        <v>1</v>
      </c>
      <c r="I72" t="s">
        <v>515</v>
      </c>
      <c r="J72" t="s">
        <v>3</v>
      </c>
      <c r="K72" t="s">
        <v>516</v>
      </c>
      <c r="L72">
        <v>1476</v>
      </c>
      <c r="N72">
        <v>1013</v>
      </c>
      <c r="O72" t="s">
        <v>447</v>
      </c>
      <c r="P72" t="s">
        <v>448</v>
      </c>
      <c r="Q72">
        <v>1</v>
      </c>
      <c r="X72">
        <v>38.299999999999997</v>
      </c>
      <c r="Y72">
        <v>0</v>
      </c>
      <c r="Z72">
        <v>0</v>
      </c>
      <c r="AA72">
        <v>0</v>
      </c>
      <c r="AB72">
        <v>7.83</v>
      </c>
      <c r="AC72">
        <v>0</v>
      </c>
      <c r="AD72">
        <v>1</v>
      </c>
      <c r="AE72">
        <v>1</v>
      </c>
      <c r="AF72" t="s">
        <v>12</v>
      </c>
      <c r="AG72">
        <v>44.044999999999995</v>
      </c>
      <c r="AH72">
        <v>2</v>
      </c>
      <c r="AI72">
        <v>50211760</v>
      </c>
      <c r="AJ72">
        <v>71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ROW(Source!A122)</f>
        <v>122</v>
      </c>
      <c r="B73">
        <v>50211775</v>
      </c>
      <c r="C73">
        <v>50211759</v>
      </c>
      <c r="D73">
        <v>121548</v>
      </c>
      <c r="E73">
        <v>1</v>
      </c>
      <c r="F73">
        <v>1</v>
      </c>
      <c r="G73">
        <v>1</v>
      </c>
      <c r="H73">
        <v>1</v>
      </c>
      <c r="I73" t="s">
        <v>25</v>
      </c>
      <c r="J73" t="s">
        <v>3</v>
      </c>
      <c r="K73" t="s">
        <v>463</v>
      </c>
      <c r="L73">
        <v>608254</v>
      </c>
      <c r="N73">
        <v>1013</v>
      </c>
      <c r="O73" t="s">
        <v>464</v>
      </c>
      <c r="P73" t="s">
        <v>464</v>
      </c>
      <c r="Q73">
        <v>1</v>
      </c>
      <c r="X73">
        <v>19.079999999999998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2</v>
      </c>
      <c r="AF73" t="s">
        <v>11</v>
      </c>
      <c r="AG73">
        <v>23.849999999999998</v>
      </c>
      <c r="AH73">
        <v>2</v>
      </c>
      <c r="AI73">
        <v>50211761</v>
      </c>
      <c r="AJ73">
        <v>72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ROW(Source!A122)</f>
        <v>122</v>
      </c>
      <c r="B74">
        <v>50211776</v>
      </c>
      <c r="C74">
        <v>50211759</v>
      </c>
      <c r="D74">
        <v>45811353</v>
      </c>
      <c r="E74">
        <v>1</v>
      </c>
      <c r="F74">
        <v>1</v>
      </c>
      <c r="G74">
        <v>1</v>
      </c>
      <c r="H74">
        <v>2</v>
      </c>
      <c r="I74" t="s">
        <v>517</v>
      </c>
      <c r="J74" t="s">
        <v>518</v>
      </c>
      <c r="K74" t="s">
        <v>519</v>
      </c>
      <c r="L74">
        <v>45811227</v>
      </c>
      <c r="N74">
        <v>1013</v>
      </c>
      <c r="O74" t="s">
        <v>452</v>
      </c>
      <c r="P74" t="s">
        <v>452</v>
      </c>
      <c r="Q74">
        <v>1</v>
      </c>
      <c r="X74">
        <v>0.03</v>
      </c>
      <c r="Y74">
        <v>0</v>
      </c>
      <c r="Z74">
        <v>111.75</v>
      </c>
      <c r="AA74">
        <v>13.26</v>
      </c>
      <c r="AB74">
        <v>0</v>
      </c>
      <c r="AC74">
        <v>0</v>
      </c>
      <c r="AD74">
        <v>1</v>
      </c>
      <c r="AE74">
        <v>0</v>
      </c>
      <c r="AF74" t="s">
        <v>11</v>
      </c>
      <c r="AG74">
        <v>3.7499999999999999E-2</v>
      </c>
      <c r="AH74">
        <v>2</v>
      </c>
      <c r="AI74">
        <v>50211762</v>
      </c>
      <c r="AJ74">
        <v>73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ROW(Source!A122)</f>
        <v>122</v>
      </c>
      <c r="B75">
        <v>50211777</v>
      </c>
      <c r="C75">
        <v>50211759</v>
      </c>
      <c r="D75">
        <v>45811928</v>
      </c>
      <c r="E75">
        <v>1</v>
      </c>
      <c r="F75">
        <v>1</v>
      </c>
      <c r="G75">
        <v>1</v>
      </c>
      <c r="H75">
        <v>2</v>
      </c>
      <c r="I75" t="s">
        <v>520</v>
      </c>
      <c r="J75" t="s">
        <v>521</v>
      </c>
      <c r="K75" t="s">
        <v>522</v>
      </c>
      <c r="L75">
        <v>45811227</v>
      </c>
      <c r="N75">
        <v>1013</v>
      </c>
      <c r="O75" t="s">
        <v>452</v>
      </c>
      <c r="P75" t="s">
        <v>452</v>
      </c>
      <c r="Q75">
        <v>1</v>
      </c>
      <c r="X75">
        <v>1.4</v>
      </c>
      <c r="Y75">
        <v>0</v>
      </c>
      <c r="Z75">
        <v>17.2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11</v>
      </c>
      <c r="AG75">
        <v>1.75</v>
      </c>
      <c r="AH75">
        <v>2</v>
      </c>
      <c r="AI75">
        <v>50211763</v>
      </c>
      <c r="AJ75">
        <v>74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ROW(Source!A122)</f>
        <v>122</v>
      </c>
      <c r="B76">
        <v>50211778</v>
      </c>
      <c r="C76">
        <v>50211759</v>
      </c>
      <c r="D76">
        <v>45811946</v>
      </c>
      <c r="E76">
        <v>1</v>
      </c>
      <c r="F76">
        <v>1</v>
      </c>
      <c r="G76">
        <v>1</v>
      </c>
      <c r="H76">
        <v>2</v>
      </c>
      <c r="I76" t="s">
        <v>523</v>
      </c>
      <c r="J76" t="s">
        <v>524</v>
      </c>
      <c r="K76" t="s">
        <v>525</v>
      </c>
      <c r="L76">
        <v>45811227</v>
      </c>
      <c r="N76">
        <v>1013</v>
      </c>
      <c r="O76" t="s">
        <v>452</v>
      </c>
      <c r="P76" t="s">
        <v>452</v>
      </c>
      <c r="Q76">
        <v>1</v>
      </c>
      <c r="X76">
        <v>3.96</v>
      </c>
      <c r="Y76">
        <v>0</v>
      </c>
      <c r="Z76">
        <v>74.78</v>
      </c>
      <c r="AA76">
        <v>11.38</v>
      </c>
      <c r="AB76">
        <v>0</v>
      </c>
      <c r="AC76">
        <v>0</v>
      </c>
      <c r="AD76">
        <v>1</v>
      </c>
      <c r="AE76">
        <v>0</v>
      </c>
      <c r="AF76" t="s">
        <v>11</v>
      </c>
      <c r="AG76">
        <v>4.95</v>
      </c>
      <c r="AH76">
        <v>2</v>
      </c>
      <c r="AI76">
        <v>50211764</v>
      </c>
      <c r="AJ76">
        <v>75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ROW(Source!A122)</f>
        <v>122</v>
      </c>
      <c r="B77">
        <v>50211779</v>
      </c>
      <c r="C77">
        <v>50211759</v>
      </c>
      <c r="D77">
        <v>45811947</v>
      </c>
      <c r="E77">
        <v>1</v>
      </c>
      <c r="F77">
        <v>1</v>
      </c>
      <c r="G77">
        <v>1</v>
      </c>
      <c r="H77">
        <v>2</v>
      </c>
      <c r="I77" t="s">
        <v>526</v>
      </c>
      <c r="J77" t="s">
        <v>527</v>
      </c>
      <c r="K77" t="s">
        <v>528</v>
      </c>
      <c r="L77">
        <v>45811227</v>
      </c>
      <c r="N77">
        <v>1013</v>
      </c>
      <c r="O77" t="s">
        <v>452</v>
      </c>
      <c r="P77" t="s">
        <v>452</v>
      </c>
      <c r="Q77">
        <v>1</v>
      </c>
      <c r="X77">
        <v>11.51</v>
      </c>
      <c r="Y77">
        <v>0</v>
      </c>
      <c r="Z77">
        <v>120.74</v>
      </c>
      <c r="AA77">
        <v>14.14</v>
      </c>
      <c r="AB77">
        <v>0</v>
      </c>
      <c r="AC77">
        <v>0</v>
      </c>
      <c r="AD77">
        <v>1</v>
      </c>
      <c r="AE77">
        <v>0</v>
      </c>
      <c r="AF77" t="s">
        <v>11</v>
      </c>
      <c r="AG77">
        <v>14.387499999999999</v>
      </c>
      <c r="AH77">
        <v>2</v>
      </c>
      <c r="AI77">
        <v>50211765</v>
      </c>
      <c r="AJ77">
        <v>76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ROW(Source!A122)</f>
        <v>122</v>
      </c>
      <c r="B78">
        <v>50211780</v>
      </c>
      <c r="C78">
        <v>50211759</v>
      </c>
      <c r="D78">
        <v>45812009</v>
      </c>
      <c r="E78">
        <v>1</v>
      </c>
      <c r="F78">
        <v>1</v>
      </c>
      <c r="G78">
        <v>1</v>
      </c>
      <c r="H78">
        <v>2</v>
      </c>
      <c r="I78" t="s">
        <v>479</v>
      </c>
      <c r="J78" t="s">
        <v>480</v>
      </c>
      <c r="K78" t="s">
        <v>481</v>
      </c>
      <c r="L78">
        <v>45811227</v>
      </c>
      <c r="N78">
        <v>1013</v>
      </c>
      <c r="O78" t="s">
        <v>452</v>
      </c>
      <c r="P78" t="s">
        <v>452</v>
      </c>
      <c r="Q78">
        <v>1</v>
      </c>
      <c r="X78">
        <v>0.39</v>
      </c>
      <c r="Y78">
        <v>0</v>
      </c>
      <c r="Z78">
        <v>110</v>
      </c>
      <c r="AA78">
        <v>11.38</v>
      </c>
      <c r="AB78">
        <v>0</v>
      </c>
      <c r="AC78">
        <v>0</v>
      </c>
      <c r="AD78">
        <v>1</v>
      </c>
      <c r="AE78">
        <v>0</v>
      </c>
      <c r="AF78" t="s">
        <v>11</v>
      </c>
      <c r="AG78">
        <v>0.48750000000000004</v>
      </c>
      <c r="AH78">
        <v>2</v>
      </c>
      <c r="AI78">
        <v>50211766</v>
      </c>
      <c r="AJ78">
        <v>77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ROW(Source!A122)</f>
        <v>122</v>
      </c>
      <c r="B79">
        <v>50211781</v>
      </c>
      <c r="C79">
        <v>50211759</v>
      </c>
      <c r="D79">
        <v>45812032</v>
      </c>
      <c r="E79">
        <v>1</v>
      </c>
      <c r="F79">
        <v>1</v>
      </c>
      <c r="G79">
        <v>1</v>
      </c>
      <c r="H79">
        <v>2</v>
      </c>
      <c r="I79" t="s">
        <v>529</v>
      </c>
      <c r="J79" t="s">
        <v>530</v>
      </c>
      <c r="K79" t="s">
        <v>531</v>
      </c>
      <c r="L79">
        <v>45811227</v>
      </c>
      <c r="N79">
        <v>1013</v>
      </c>
      <c r="O79" t="s">
        <v>452</v>
      </c>
      <c r="P79" t="s">
        <v>452</v>
      </c>
      <c r="Q79">
        <v>1</v>
      </c>
      <c r="X79">
        <v>3.19</v>
      </c>
      <c r="Y79">
        <v>0</v>
      </c>
      <c r="Z79">
        <v>194.94</v>
      </c>
      <c r="AA79">
        <v>14.14</v>
      </c>
      <c r="AB79">
        <v>0</v>
      </c>
      <c r="AC79">
        <v>0</v>
      </c>
      <c r="AD79">
        <v>1</v>
      </c>
      <c r="AE79">
        <v>0</v>
      </c>
      <c r="AF79" t="s">
        <v>11</v>
      </c>
      <c r="AG79">
        <v>3.9874999999999998</v>
      </c>
      <c r="AH79">
        <v>2</v>
      </c>
      <c r="AI79">
        <v>50211767</v>
      </c>
      <c r="AJ79">
        <v>78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ROW(Source!A122)</f>
        <v>122</v>
      </c>
      <c r="B80">
        <v>50211782</v>
      </c>
      <c r="C80">
        <v>50211759</v>
      </c>
      <c r="D80">
        <v>45813321</v>
      </c>
      <c r="E80">
        <v>1</v>
      </c>
      <c r="F80">
        <v>1</v>
      </c>
      <c r="G80">
        <v>1</v>
      </c>
      <c r="H80">
        <v>2</v>
      </c>
      <c r="I80" t="s">
        <v>532</v>
      </c>
      <c r="J80" t="s">
        <v>533</v>
      </c>
      <c r="K80" t="s">
        <v>534</v>
      </c>
      <c r="L80">
        <v>45811227</v>
      </c>
      <c r="N80">
        <v>1013</v>
      </c>
      <c r="O80" t="s">
        <v>452</v>
      </c>
      <c r="P80" t="s">
        <v>452</v>
      </c>
      <c r="Q80">
        <v>1</v>
      </c>
      <c r="X80">
        <v>0.04</v>
      </c>
      <c r="Y80">
        <v>0</v>
      </c>
      <c r="Z80">
        <v>86.55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11</v>
      </c>
      <c r="AG80">
        <v>0.05</v>
      </c>
      <c r="AH80">
        <v>2</v>
      </c>
      <c r="AI80">
        <v>50211768</v>
      </c>
      <c r="AJ80">
        <v>79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ROW(Source!A122)</f>
        <v>122</v>
      </c>
      <c r="B81">
        <v>50211783</v>
      </c>
      <c r="C81">
        <v>50211759</v>
      </c>
      <c r="D81">
        <v>45815194</v>
      </c>
      <c r="E81">
        <v>1</v>
      </c>
      <c r="F81">
        <v>1</v>
      </c>
      <c r="G81">
        <v>1</v>
      </c>
      <c r="H81">
        <v>3</v>
      </c>
      <c r="I81" t="s">
        <v>538</v>
      </c>
      <c r="J81" t="s">
        <v>539</v>
      </c>
      <c r="K81" t="s">
        <v>540</v>
      </c>
      <c r="L81">
        <v>1348</v>
      </c>
      <c r="N81">
        <v>1009</v>
      </c>
      <c r="O81" t="s">
        <v>190</v>
      </c>
      <c r="P81" t="s">
        <v>190</v>
      </c>
      <c r="Q81">
        <v>1000</v>
      </c>
      <c r="X81">
        <v>6.1999999999999998E-3</v>
      </c>
      <c r="Y81">
        <v>5469.5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6.1999999999999998E-3</v>
      </c>
      <c r="AH81">
        <v>2</v>
      </c>
      <c r="AI81">
        <v>50211769</v>
      </c>
      <c r="AJ81">
        <v>80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ROW(Source!A122)</f>
        <v>122</v>
      </c>
      <c r="B82">
        <v>50211784</v>
      </c>
      <c r="C82">
        <v>50211759</v>
      </c>
      <c r="D82">
        <v>45816047</v>
      </c>
      <c r="E82">
        <v>1</v>
      </c>
      <c r="F82">
        <v>1</v>
      </c>
      <c r="G82">
        <v>1</v>
      </c>
      <c r="H82">
        <v>3</v>
      </c>
      <c r="I82" t="s">
        <v>541</v>
      </c>
      <c r="J82" t="s">
        <v>542</v>
      </c>
      <c r="K82" t="s">
        <v>543</v>
      </c>
      <c r="L82">
        <v>1348</v>
      </c>
      <c r="N82">
        <v>1009</v>
      </c>
      <c r="O82" t="s">
        <v>190</v>
      </c>
      <c r="P82" t="s">
        <v>190</v>
      </c>
      <c r="Q82">
        <v>1000</v>
      </c>
      <c r="X82">
        <v>1.0800000000000001E-2</v>
      </c>
      <c r="Y82">
        <v>1559.03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1.0800000000000001E-2</v>
      </c>
      <c r="AH82">
        <v>2</v>
      </c>
      <c r="AI82">
        <v>50211770</v>
      </c>
      <c r="AJ82">
        <v>81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ROW(Source!A122)</f>
        <v>122</v>
      </c>
      <c r="B83">
        <v>50211785</v>
      </c>
      <c r="C83">
        <v>50211759</v>
      </c>
      <c r="D83">
        <v>45823092</v>
      </c>
      <c r="E83">
        <v>1</v>
      </c>
      <c r="F83">
        <v>1</v>
      </c>
      <c r="G83">
        <v>1</v>
      </c>
      <c r="H83">
        <v>3</v>
      </c>
      <c r="I83" t="s">
        <v>544</v>
      </c>
      <c r="J83" t="s">
        <v>545</v>
      </c>
      <c r="K83" t="s">
        <v>546</v>
      </c>
      <c r="L83">
        <v>1339</v>
      </c>
      <c r="N83">
        <v>1007</v>
      </c>
      <c r="O83" t="s">
        <v>153</v>
      </c>
      <c r="P83" t="s">
        <v>153</v>
      </c>
      <c r="Q83">
        <v>1</v>
      </c>
      <c r="X83">
        <v>0.15</v>
      </c>
      <c r="Y83">
        <v>1173.28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0.15</v>
      </c>
      <c r="AH83">
        <v>2</v>
      </c>
      <c r="AI83">
        <v>50211771</v>
      </c>
      <c r="AJ83">
        <v>82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ROW(Source!A122)</f>
        <v>122</v>
      </c>
      <c r="B84">
        <v>50211786</v>
      </c>
      <c r="C84">
        <v>50211759</v>
      </c>
      <c r="D84">
        <v>45865266</v>
      </c>
      <c r="E84">
        <v>1</v>
      </c>
      <c r="F84">
        <v>1</v>
      </c>
      <c r="G84">
        <v>1</v>
      </c>
      <c r="H84">
        <v>3</v>
      </c>
      <c r="I84" t="s">
        <v>188</v>
      </c>
      <c r="J84" t="s">
        <v>191</v>
      </c>
      <c r="K84" t="s">
        <v>189</v>
      </c>
      <c r="L84">
        <v>1348</v>
      </c>
      <c r="N84">
        <v>1009</v>
      </c>
      <c r="O84" t="s">
        <v>190</v>
      </c>
      <c r="P84" t="s">
        <v>190</v>
      </c>
      <c r="Q84">
        <v>1000</v>
      </c>
      <c r="X84">
        <v>96.6</v>
      </c>
      <c r="Y84">
        <v>422.2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96.6</v>
      </c>
      <c r="AH84">
        <v>2</v>
      </c>
      <c r="AI84">
        <v>50211772</v>
      </c>
      <c r="AJ84">
        <v>83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ROW(Source!A125)</f>
        <v>125</v>
      </c>
      <c r="B85">
        <v>50211795</v>
      </c>
      <c r="C85">
        <v>50211789</v>
      </c>
      <c r="D85">
        <v>45967552</v>
      </c>
      <c r="E85">
        <v>1</v>
      </c>
      <c r="F85">
        <v>1</v>
      </c>
      <c r="G85">
        <v>1</v>
      </c>
      <c r="H85">
        <v>1</v>
      </c>
      <c r="I85" t="s">
        <v>515</v>
      </c>
      <c r="J85" t="s">
        <v>3</v>
      </c>
      <c r="K85" t="s">
        <v>516</v>
      </c>
      <c r="L85">
        <v>1476</v>
      </c>
      <c r="N85">
        <v>1013</v>
      </c>
      <c r="O85" t="s">
        <v>447</v>
      </c>
      <c r="P85" t="s">
        <v>448</v>
      </c>
      <c r="Q85">
        <v>1</v>
      </c>
      <c r="X85">
        <v>0.09</v>
      </c>
      <c r="Y85">
        <v>0</v>
      </c>
      <c r="Z85">
        <v>0</v>
      </c>
      <c r="AA85">
        <v>0</v>
      </c>
      <c r="AB85">
        <v>7.83</v>
      </c>
      <c r="AC85">
        <v>0</v>
      </c>
      <c r="AD85">
        <v>1</v>
      </c>
      <c r="AE85">
        <v>1</v>
      </c>
      <c r="AF85" t="s">
        <v>181</v>
      </c>
      <c r="AG85">
        <v>0.20699999999999999</v>
      </c>
      <c r="AH85">
        <v>2</v>
      </c>
      <c r="AI85">
        <v>50211790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ROW(Source!A125)</f>
        <v>125</v>
      </c>
      <c r="B86">
        <v>50211796</v>
      </c>
      <c r="C86">
        <v>50211789</v>
      </c>
      <c r="D86">
        <v>45811928</v>
      </c>
      <c r="E86">
        <v>1</v>
      </c>
      <c r="F86">
        <v>1</v>
      </c>
      <c r="G86">
        <v>1</v>
      </c>
      <c r="H86">
        <v>2</v>
      </c>
      <c r="I86" t="s">
        <v>520</v>
      </c>
      <c r="J86" t="s">
        <v>521</v>
      </c>
      <c r="K86" t="s">
        <v>522</v>
      </c>
      <c r="L86">
        <v>45811227</v>
      </c>
      <c r="N86">
        <v>1013</v>
      </c>
      <c r="O86" t="s">
        <v>452</v>
      </c>
      <c r="P86" t="s">
        <v>452</v>
      </c>
      <c r="Q86">
        <v>1</v>
      </c>
      <c r="X86">
        <v>0.18</v>
      </c>
      <c r="Y86">
        <v>0</v>
      </c>
      <c r="Z86">
        <v>17.2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180</v>
      </c>
      <c r="AG86">
        <v>0.44999999999999996</v>
      </c>
      <c r="AH86">
        <v>2</v>
      </c>
      <c r="AI86">
        <v>50211791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ROW(Source!A125)</f>
        <v>125</v>
      </c>
      <c r="B87">
        <v>50211797</v>
      </c>
      <c r="C87">
        <v>50211789</v>
      </c>
      <c r="D87">
        <v>45816047</v>
      </c>
      <c r="E87">
        <v>1</v>
      </c>
      <c r="F87">
        <v>1</v>
      </c>
      <c r="G87">
        <v>1</v>
      </c>
      <c r="H87">
        <v>3</v>
      </c>
      <c r="I87" t="s">
        <v>541</v>
      </c>
      <c r="J87" t="s">
        <v>542</v>
      </c>
      <c r="K87" t="s">
        <v>543</v>
      </c>
      <c r="L87">
        <v>1348</v>
      </c>
      <c r="N87">
        <v>1009</v>
      </c>
      <c r="O87" t="s">
        <v>190</v>
      </c>
      <c r="P87" t="s">
        <v>190</v>
      </c>
      <c r="Q87">
        <v>1000</v>
      </c>
      <c r="X87">
        <v>1.4E-3</v>
      </c>
      <c r="Y87">
        <v>1559.03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200</v>
      </c>
      <c r="AG87">
        <v>2.8E-3</v>
      </c>
      <c r="AH87">
        <v>2</v>
      </c>
      <c r="AI87">
        <v>50211792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ROW(Source!A125)</f>
        <v>125</v>
      </c>
      <c r="B88">
        <v>50211798</v>
      </c>
      <c r="C88">
        <v>50211789</v>
      </c>
      <c r="D88">
        <v>45865266</v>
      </c>
      <c r="E88">
        <v>1</v>
      </c>
      <c r="F88">
        <v>1</v>
      </c>
      <c r="G88">
        <v>1</v>
      </c>
      <c r="H88">
        <v>3</v>
      </c>
      <c r="I88" t="s">
        <v>188</v>
      </c>
      <c r="J88" t="s">
        <v>191</v>
      </c>
      <c r="K88" t="s">
        <v>189</v>
      </c>
      <c r="L88">
        <v>1348</v>
      </c>
      <c r="N88">
        <v>1009</v>
      </c>
      <c r="O88" t="s">
        <v>190</v>
      </c>
      <c r="P88" t="s">
        <v>190</v>
      </c>
      <c r="Q88">
        <v>1000</v>
      </c>
      <c r="X88">
        <v>12.1</v>
      </c>
      <c r="Y88">
        <v>422.2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200</v>
      </c>
      <c r="AG88">
        <v>24.2</v>
      </c>
      <c r="AH88">
        <v>2</v>
      </c>
      <c r="AI88">
        <v>50211793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ROW(Source!A163)</f>
        <v>163</v>
      </c>
      <c r="B89">
        <v>50211803</v>
      </c>
      <c r="C89">
        <v>50211801</v>
      </c>
      <c r="D89">
        <v>45975178</v>
      </c>
      <c r="E89">
        <v>1</v>
      </c>
      <c r="F89">
        <v>1</v>
      </c>
      <c r="G89">
        <v>1</v>
      </c>
      <c r="H89">
        <v>1</v>
      </c>
      <c r="I89" t="s">
        <v>453</v>
      </c>
      <c r="J89" t="s">
        <v>3</v>
      </c>
      <c r="K89" t="s">
        <v>454</v>
      </c>
      <c r="L89">
        <v>1476</v>
      </c>
      <c r="N89">
        <v>1013</v>
      </c>
      <c r="O89" t="s">
        <v>447</v>
      </c>
      <c r="P89" t="s">
        <v>448</v>
      </c>
      <c r="Q89">
        <v>1</v>
      </c>
      <c r="X89">
        <v>154</v>
      </c>
      <c r="Y89">
        <v>0</v>
      </c>
      <c r="Z89">
        <v>0</v>
      </c>
      <c r="AA89">
        <v>0</v>
      </c>
      <c r="AB89">
        <v>6.35</v>
      </c>
      <c r="AC89">
        <v>0</v>
      </c>
      <c r="AD89">
        <v>1</v>
      </c>
      <c r="AE89">
        <v>1</v>
      </c>
      <c r="AF89" t="s">
        <v>12</v>
      </c>
      <c r="AG89">
        <v>177.1</v>
      </c>
      <c r="AH89">
        <v>2</v>
      </c>
      <c r="AI89">
        <v>50211802</v>
      </c>
      <c r="AJ89">
        <v>90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ROW(Source!A164)</f>
        <v>164</v>
      </c>
      <c r="B90">
        <v>50211814</v>
      </c>
      <c r="C90">
        <v>50211804</v>
      </c>
      <c r="D90">
        <v>45978326</v>
      </c>
      <c r="E90">
        <v>1</v>
      </c>
      <c r="F90">
        <v>1</v>
      </c>
      <c r="G90">
        <v>1</v>
      </c>
      <c r="H90">
        <v>1</v>
      </c>
      <c r="I90" t="s">
        <v>507</v>
      </c>
      <c r="J90" t="s">
        <v>3</v>
      </c>
      <c r="K90" t="s">
        <v>508</v>
      </c>
      <c r="L90">
        <v>1476</v>
      </c>
      <c r="N90">
        <v>1013</v>
      </c>
      <c r="O90" t="s">
        <v>447</v>
      </c>
      <c r="P90" t="s">
        <v>448</v>
      </c>
      <c r="Q90">
        <v>1</v>
      </c>
      <c r="X90">
        <v>24.19</v>
      </c>
      <c r="Y90">
        <v>0</v>
      </c>
      <c r="Z90">
        <v>0</v>
      </c>
      <c r="AA90">
        <v>0</v>
      </c>
      <c r="AB90">
        <v>6.58</v>
      </c>
      <c r="AC90">
        <v>0</v>
      </c>
      <c r="AD90">
        <v>1</v>
      </c>
      <c r="AE90">
        <v>1</v>
      </c>
      <c r="AF90" t="s">
        <v>12</v>
      </c>
      <c r="AG90">
        <v>27.8185</v>
      </c>
      <c r="AH90">
        <v>2</v>
      </c>
      <c r="AI90">
        <v>50211805</v>
      </c>
      <c r="AJ90">
        <v>91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ROW(Source!A164)</f>
        <v>164</v>
      </c>
      <c r="B91">
        <v>50211815</v>
      </c>
      <c r="C91">
        <v>50211804</v>
      </c>
      <c r="D91">
        <v>121548</v>
      </c>
      <c r="E91">
        <v>1</v>
      </c>
      <c r="F91">
        <v>1</v>
      </c>
      <c r="G91">
        <v>1</v>
      </c>
      <c r="H91">
        <v>1</v>
      </c>
      <c r="I91" t="s">
        <v>25</v>
      </c>
      <c r="J91" t="s">
        <v>3</v>
      </c>
      <c r="K91" t="s">
        <v>463</v>
      </c>
      <c r="L91">
        <v>608254</v>
      </c>
      <c r="N91">
        <v>1013</v>
      </c>
      <c r="O91" t="s">
        <v>464</v>
      </c>
      <c r="P91" t="s">
        <v>464</v>
      </c>
      <c r="Q91">
        <v>1</v>
      </c>
      <c r="X91">
        <v>20.6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2</v>
      </c>
      <c r="AF91" t="s">
        <v>11</v>
      </c>
      <c r="AG91">
        <v>25.75</v>
      </c>
      <c r="AH91">
        <v>2</v>
      </c>
      <c r="AI91">
        <v>50211806</v>
      </c>
      <c r="AJ91">
        <v>92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ROW(Source!A164)</f>
        <v>164</v>
      </c>
      <c r="B92">
        <v>50211816</v>
      </c>
      <c r="C92">
        <v>50211804</v>
      </c>
      <c r="D92">
        <v>45811426</v>
      </c>
      <c r="E92">
        <v>1</v>
      </c>
      <c r="F92">
        <v>1</v>
      </c>
      <c r="G92">
        <v>1</v>
      </c>
      <c r="H92">
        <v>2</v>
      </c>
      <c r="I92" t="s">
        <v>498</v>
      </c>
      <c r="J92" t="s">
        <v>499</v>
      </c>
      <c r="K92" t="s">
        <v>500</v>
      </c>
      <c r="L92">
        <v>45811227</v>
      </c>
      <c r="N92">
        <v>1013</v>
      </c>
      <c r="O92" t="s">
        <v>452</v>
      </c>
      <c r="P92" t="s">
        <v>452</v>
      </c>
      <c r="Q92">
        <v>1</v>
      </c>
      <c r="X92">
        <v>2.46</v>
      </c>
      <c r="Y92">
        <v>0</v>
      </c>
      <c r="Z92">
        <v>89.81</v>
      </c>
      <c r="AA92">
        <v>9.8800000000000008</v>
      </c>
      <c r="AB92">
        <v>0</v>
      </c>
      <c r="AC92">
        <v>0</v>
      </c>
      <c r="AD92">
        <v>1</v>
      </c>
      <c r="AE92">
        <v>0</v>
      </c>
      <c r="AF92" t="s">
        <v>11</v>
      </c>
      <c r="AG92">
        <v>3.0750000000000002</v>
      </c>
      <c r="AH92">
        <v>2</v>
      </c>
      <c r="AI92">
        <v>50211807</v>
      </c>
      <c r="AJ92">
        <v>93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ROW(Source!A164)</f>
        <v>164</v>
      </c>
      <c r="B93">
        <v>50211817</v>
      </c>
      <c r="C93">
        <v>50211804</v>
      </c>
      <c r="D93">
        <v>45811709</v>
      </c>
      <c r="E93">
        <v>1</v>
      </c>
      <c r="F93">
        <v>1</v>
      </c>
      <c r="G93">
        <v>1</v>
      </c>
      <c r="H93">
        <v>2</v>
      </c>
      <c r="I93" t="s">
        <v>468</v>
      </c>
      <c r="J93" t="s">
        <v>469</v>
      </c>
      <c r="K93" t="s">
        <v>470</v>
      </c>
      <c r="L93">
        <v>45811227</v>
      </c>
      <c r="N93">
        <v>1013</v>
      </c>
      <c r="O93" t="s">
        <v>452</v>
      </c>
      <c r="P93" t="s">
        <v>452</v>
      </c>
      <c r="Q93">
        <v>1</v>
      </c>
      <c r="X93">
        <v>2.59</v>
      </c>
      <c r="Y93">
        <v>0</v>
      </c>
      <c r="Z93">
        <v>79.75</v>
      </c>
      <c r="AA93">
        <v>13.26</v>
      </c>
      <c r="AB93">
        <v>0</v>
      </c>
      <c r="AC93">
        <v>0</v>
      </c>
      <c r="AD93">
        <v>1</v>
      </c>
      <c r="AE93">
        <v>0</v>
      </c>
      <c r="AF93" t="s">
        <v>11</v>
      </c>
      <c r="AG93">
        <v>3.2374999999999998</v>
      </c>
      <c r="AH93">
        <v>2</v>
      </c>
      <c r="AI93">
        <v>50211808</v>
      </c>
      <c r="AJ93">
        <v>94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ROW(Source!A164)</f>
        <v>164</v>
      </c>
      <c r="B94">
        <v>50211818</v>
      </c>
      <c r="C94">
        <v>50211804</v>
      </c>
      <c r="D94">
        <v>45811921</v>
      </c>
      <c r="E94">
        <v>1</v>
      </c>
      <c r="F94">
        <v>1</v>
      </c>
      <c r="G94">
        <v>1</v>
      </c>
      <c r="H94">
        <v>2</v>
      </c>
      <c r="I94" t="s">
        <v>501</v>
      </c>
      <c r="J94" t="s">
        <v>502</v>
      </c>
      <c r="K94" t="s">
        <v>503</v>
      </c>
      <c r="L94">
        <v>45811227</v>
      </c>
      <c r="N94">
        <v>1013</v>
      </c>
      <c r="O94" t="s">
        <v>452</v>
      </c>
      <c r="P94" t="s">
        <v>452</v>
      </c>
      <c r="Q94">
        <v>1</v>
      </c>
      <c r="X94">
        <v>2.2999999999999998</v>
      </c>
      <c r="Y94">
        <v>0</v>
      </c>
      <c r="Z94">
        <v>122.76</v>
      </c>
      <c r="AA94">
        <v>13.26</v>
      </c>
      <c r="AB94">
        <v>0</v>
      </c>
      <c r="AC94">
        <v>0</v>
      </c>
      <c r="AD94">
        <v>1</v>
      </c>
      <c r="AE94">
        <v>0</v>
      </c>
      <c r="AF94" t="s">
        <v>11</v>
      </c>
      <c r="AG94">
        <v>2.875</v>
      </c>
      <c r="AH94">
        <v>2</v>
      </c>
      <c r="AI94">
        <v>50211809</v>
      </c>
      <c r="AJ94">
        <v>95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ROW(Source!A164)</f>
        <v>164</v>
      </c>
      <c r="B95">
        <v>50211819</v>
      </c>
      <c r="C95">
        <v>50211804</v>
      </c>
      <c r="D95">
        <v>45811951</v>
      </c>
      <c r="E95">
        <v>1</v>
      </c>
      <c r="F95">
        <v>1</v>
      </c>
      <c r="G95">
        <v>1</v>
      </c>
      <c r="H95">
        <v>2</v>
      </c>
      <c r="I95" t="s">
        <v>504</v>
      </c>
      <c r="J95" t="s">
        <v>505</v>
      </c>
      <c r="K95" t="s">
        <v>506</v>
      </c>
      <c r="L95">
        <v>45811227</v>
      </c>
      <c r="N95">
        <v>1013</v>
      </c>
      <c r="O95" t="s">
        <v>452</v>
      </c>
      <c r="P95" t="s">
        <v>452</v>
      </c>
      <c r="Q95">
        <v>1</v>
      </c>
      <c r="X95">
        <v>12.21</v>
      </c>
      <c r="Y95">
        <v>0</v>
      </c>
      <c r="Z95">
        <v>205.75</v>
      </c>
      <c r="AA95">
        <v>14.14</v>
      </c>
      <c r="AB95">
        <v>0</v>
      </c>
      <c r="AC95">
        <v>0</v>
      </c>
      <c r="AD95">
        <v>1</v>
      </c>
      <c r="AE95">
        <v>0</v>
      </c>
      <c r="AF95" t="s">
        <v>11</v>
      </c>
      <c r="AG95">
        <v>15.262500000000001</v>
      </c>
      <c r="AH95">
        <v>2</v>
      </c>
      <c r="AI95">
        <v>50211810</v>
      </c>
      <c r="AJ95">
        <v>96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ROW(Source!A164)</f>
        <v>164</v>
      </c>
      <c r="B96">
        <v>50211820</v>
      </c>
      <c r="C96">
        <v>50211804</v>
      </c>
      <c r="D96">
        <v>45812009</v>
      </c>
      <c r="E96">
        <v>1</v>
      </c>
      <c r="F96">
        <v>1</v>
      </c>
      <c r="G96">
        <v>1</v>
      </c>
      <c r="H96">
        <v>2</v>
      </c>
      <c r="I96" t="s">
        <v>479</v>
      </c>
      <c r="J96" t="s">
        <v>480</v>
      </c>
      <c r="K96" t="s">
        <v>481</v>
      </c>
      <c r="L96">
        <v>45811227</v>
      </c>
      <c r="N96">
        <v>1013</v>
      </c>
      <c r="O96" t="s">
        <v>452</v>
      </c>
      <c r="P96" t="s">
        <v>452</v>
      </c>
      <c r="Q96">
        <v>1</v>
      </c>
      <c r="X96">
        <v>1.04</v>
      </c>
      <c r="Y96">
        <v>0</v>
      </c>
      <c r="Z96">
        <v>110</v>
      </c>
      <c r="AA96">
        <v>11.38</v>
      </c>
      <c r="AB96">
        <v>0</v>
      </c>
      <c r="AC96">
        <v>0</v>
      </c>
      <c r="AD96">
        <v>1</v>
      </c>
      <c r="AE96">
        <v>0</v>
      </c>
      <c r="AF96" t="s">
        <v>11</v>
      </c>
      <c r="AG96">
        <v>1.3</v>
      </c>
      <c r="AH96">
        <v>2</v>
      </c>
      <c r="AI96">
        <v>50211811</v>
      </c>
      <c r="AJ96">
        <v>97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ROW(Source!A164)</f>
        <v>164</v>
      </c>
      <c r="B97">
        <v>50211821</v>
      </c>
      <c r="C97">
        <v>50211804</v>
      </c>
      <c r="D97">
        <v>45865150</v>
      </c>
      <c r="E97">
        <v>1</v>
      </c>
      <c r="F97">
        <v>1</v>
      </c>
      <c r="G97">
        <v>1</v>
      </c>
      <c r="H97">
        <v>3</v>
      </c>
      <c r="I97" t="s">
        <v>650</v>
      </c>
      <c r="J97" t="s">
        <v>651</v>
      </c>
      <c r="K97" t="s">
        <v>652</v>
      </c>
      <c r="L97">
        <v>1339</v>
      </c>
      <c r="N97">
        <v>1007</v>
      </c>
      <c r="O97" t="s">
        <v>153</v>
      </c>
      <c r="P97" t="s">
        <v>153</v>
      </c>
      <c r="Q97">
        <v>1</v>
      </c>
      <c r="X97">
        <v>0</v>
      </c>
      <c r="Y97">
        <v>0</v>
      </c>
      <c r="Z97">
        <v>0</v>
      </c>
      <c r="AA97">
        <v>0</v>
      </c>
      <c r="AB97">
        <v>0</v>
      </c>
      <c r="AC97">
        <v>1</v>
      </c>
      <c r="AD97">
        <v>0</v>
      </c>
      <c r="AE97">
        <v>0</v>
      </c>
      <c r="AF97" t="s">
        <v>3</v>
      </c>
      <c r="AG97">
        <v>0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ROW(Source!A164)</f>
        <v>164</v>
      </c>
      <c r="B98">
        <v>50211822</v>
      </c>
      <c r="C98">
        <v>50211804</v>
      </c>
      <c r="D98">
        <v>45865353</v>
      </c>
      <c r="E98">
        <v>1</v>
      </c>
      <c r="F98">
        <v>1</v>
      </c>
      <c r="G98">
        <v>1</v>
      </c>
      <c r="H98">
        <v>3</v>
      </c>
      <c r="I98" t="s">
        <v>488</v>
      </c>
      <c r="J98" t="s">
        <v>489</v>
      </c>
      <c r="K98" t="s">
        <v>490</v>
      </c>
      <c r="L98">
        <v>1339</v>
      </c>
      <c r="N98">
        <v>1007</v>
      </c>
      <c r="O98" t="s">
        <v>153</v>
      </c>
      <c r="P98" t="s">
        <v>153</v>
      </c>
      <c r="Q98">
        <v>1</v>
      </c>
      <c r="X98">
        <v>7</v>
      </c>
      <c r="Y98">
        <v>2.2599999999999998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7</v>
      </c>
      <c r="AH98">
        <v>2</v>
      </c>
      <c r="AI98">
        <v>50211813</v>
      </c>
      <c r="AJ98">
        <v>99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ROW(Source!A166)</f>
        <v>166</v>
      </c>
      <c r="B99">
        <v>50211834</v>
      </c>
      <c r="C99">
        <v>50211824</v>
      </c>
      <c r="D99">
        <v>45976914</v>
      </c>
      <c r="E99">
        <v>1</v>
      </c>
      <c r="F99">
        <v>1</v>
      </c>
      <c r="G99">
        <v>1</v>
      </c>
      <c r="H99">
        <v>1</v>
      </c>
      <c r="I99" t="s">
        <v>474</v>
      </c>
      <c r="J99" t="s">
        <v>3</v>
      </c>
      <c r="K99" t="s">
        <v>475</v>
      </c>
      <c r="L99">
        <v>1476</v>
      </c>
      <c r="N99">
        <v>1013</v>
      </c>
      <c r="O99" t="s">
        <v>447</v>
      </c>
      <c r="P99" t="s">
        <v>448</v>
      </c>
      <c r="Q99">
        <v>1</v>
      </c>
      <c r="X99">
        <v>76.08</v>
      </c>
      <c r="Y99">
        <v>0</v>
      </c>
      <c r="Z99">
        <v>0</v>
      </c>
      <c r="AA99">
        <v>0</v>
      </c>
      <c r="AB99">
        <v>6.88</v>
      </c>
      <c r="AC99">
        <v>0</v>
      </c>
      <c r="AD99">
        <v>1</v>
      </c>
      <c r="AE99">
        <v>1</v>
      </c>
      <c r="AF99" t="s">
        <v>12</v>
      </c>
      <c r="AG99">
        <v>87.49199999999999</v>
      </c>
      <c r="AH99">
        <v>2</v>
      </c>
      <c r="AI99">
        <v>50211825</v>
      </c>
      <c r="AJ99">
        <v>100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ROW(Source!A166)</f>
        <v>166</v>
      </c>
      <c r="B100">
        <v>50211835</v>
      </c>
      <c r="C100">
        <v>50211824</v>
      </c>
      <c r="D100">
        <v>121548</v>
      </c>
      <c r="E100">
        <v>1</v>
      </c>
      <c r="F100">
        <v>1</v>
      </c>
      <c r="G100">
        <v>1</v>
      </c>
      <c r="H100">
        <v>1</v>
      </c>
      <c r="I100" t="s">
        <v>25</v>
      </c>
      <c r="J100" t="s">
        <v>3</v>
      </c>
      <c r="K100" t="s">
        <v>463</v>
      </c>
      <c r="L100">
        <v>608254</v>
      </c>
      <c r="N100">
        <v>1013</v>
      </c>
      <c r="O100" t="s">
        <v>464</v>
      </c>
      <c r="P100" t="s">
        <v>464</v>
      </c>
      <c r="Q100">
        <v>1</v>
      </c>
      <c r="X100">
        <v>0.68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2</v>
      </c>
      <c r="AF100" t="s">
        <v>11</v>
      </c>
      <c r="AG100">
        <v>0.85000000000000009</v>
      </c>
      <c r="AH100">
        <v>2</v>
      </c>
      <c r="AI100">
        <v>50211826</v>
      </c>
      <c r="AJ100">
        <v>101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ROW(Source!A166)</f>
        <v>166</v>
      </c>
      <c r="B101">
        <v>50211836</v>
      </c>
      <c r="C101">
        <v>50211824</v>
      </c>
      <c r="D101">
        <v>45811353</v>
      </c>
      <c r="E101">
        <v>1</v>
      </c>
      <c r="F101">
        <v>1</v>
      </c>
      <c r="G101">
        <v>1</v>
      </c>
      <c r="H101">
        <v>2</v>
      </c>
      <c r="I101" t="s">
        <v>517</v>
      </c>
      <c r="J101" t="s">
        <v>518</v>
      </c>
      <c r="K101" t="s">
        <v>519</v>
      </c>
      <c r="L101">
        <v>45811227</v>
      </c>
      <c r="N101">
        <v>1013</v>
      </c>
      <c r="O101" t="s">
        <v>452</v>
      </c>
      <c r="P101" t="s">
        <v>452</v>
      </c>
      <c r="Q101">
        <v>1</v>
      </c>
      <c r="X101">
        <v>0.68</v>
      </c>
      <c r="Y101">
        <v>0</v>
      </c>
      <c r="Z101">
        <v>111.75</v>
      </c>
      <c r="AA101">
        <v>13.26</v>
      </c>
      <c r="AB101">
        <v>0</v>
      </c>
      <c r="AC101">
        <v>0</v>
      </c>
      <c r="AD101">
        <v>1</v>
      </c>
      <c r="AE101">
        <v>0</v>
      </c>
      <c r="AF101" t="s">
        <v>11</v>
      </c>
      <c r="AG101">
        <v>0.85000000000000009</v>
      </c>
      <c r="AH101">
        <v>2</v>
      </c>
      <c r="AI101">
        <v>50211827</v>
      </c>
      <c r="AJ101">
        <v>102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ROW(Source!A166)</f>
        <v>166</v>
      </c>
      <c r="B102">
        <v>50211837</v>
      </c>
      <c r="C102">
        <v>50211824</v>
      </c>
      <c r="D102">
        <v>45813321</v>
      </c>
      <c r="E102">
        <v>1</v>
      </c>
      <c r="F102">
        <v>1</v>
      </c>
      <c r="G102">
        <v>1</v>
      </c>
      <c r="H102">
        <v>2</v>
      </c>
      <c r="I102" t="s">
        <v>532</v>
      </c>
      <c r="J102" t="s">
        <v>533</v>
      </c>
      <c r="K102" t="s">
        <v>534</v>
      </c>
      <c r="L102">
        <v>45811227</v>
      </c>
      <c r="N102">
        <v>1013</v>
      </c>
      <c r="O102" t="s">
        <v>452</v>
      </c>
      <c r="P102" t="s">
        <v>452</v>
      </c>
      <c r="Q102">
        <v>1</v>
      </c>
      <c r="X102">
        <v>0.04</v>
      </c>
      <c r="Y102">
        <v>0</v>
      </c>
      <c r="Z102">
        <v>86.55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11</v>
      </c>
      <c r="AG102">
        <v>0.05</v>
      </c>
      <c r="AH102">
        <v>2</v>
      </c>
      <c r="AI102">
        <v>50211828</v>
      </c>
      <c r="AJ102">
        <v>103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ROW(Source!A166)</f>
        <v>166</v>
      </c>
      <c r="B103">
        <v>50211838</v>
      </c>
      <c r="C103">
        <v>50211824</v>
      </c>
      <c r="D103">
        <v>45816422</v>
      </c>
      <c r="E103">
        <v>1</v>
      </c>
      <c r="F103">
        <v>1</v>
      </c>
      <c r="G103">
        <v>1</v>
      </c>
      <c r="H103">
        <v>3</v>
      </c>
      <c r="I103" t="s">
        <v>550</v>
      </c>
      <c r="J103" t="s">
        <v>551</v>
      </c>
      <c r="K103" t="s">
        <v>552</v>
      </c>
      <c r="L103">
        <v>1348</v>
      </c>
      <c r="N103">
        <v>1009</v>
      </c>
      <c r="O103" t="s">
        <v>190</v>
      </c>
      <c r="P103" t="s">
        <v>190</v>
      </c>
      <c r="Q103">
        <v>1000</v>
      </c>
      <c r="X103">
        <v>1E-3</v>
      </c>
      <c r="Y103">
        <v>10992.4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1E-3</v>
      </c>
      <c r="AH103">
        <v>2</v>
      </c>
      <c r="AI103">
        <v>50211829</v>
      </c>
      <c r="AJ103">
        <v>104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ROW(Source!A166)</f>
        <v>166</v>
      </c>
      <c r="B104">
        <v>50211839</v>
      </c>
      <c r="C104">
        <v>50211824</v>
      </c>
      <c r="D104">
        <v>45823107</v>
      </c>
      <c r="E104">
        <v>1</v>
      </c>
      <c r="F104">
        <v>1</v>
      </c>
      <c r="G104">
        <v>1</v>
      </c>
      <c r="H104">
        <v>3</v>
      </c>
      <c r="I104" t="s">
        <v>553</v>
      </c>
      <c r="J104" t="s">
        <v>554</v>
      </c>
      <c r="K104" t="s">
        <v>555</v>
      </c>
      <c r="L104">
        <v>1339</v>
      </c>
      <c r="N104">
        <v>1007</v>
      </c>
      <c r="O104" t="s">
        <v>153</v>
      </c>
      <c r="P104" t="s">
        <v>153</v>
      </c>
      <c r="Q104">
        <v>1</v>
      </c>
      <c r="X104">
        <v>0.17</v>
      </c>
      <c r="Y104">
        <v>813.06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0.17</v>
      </c>
      <c r="AH104">
        <v>2</v>
      </c>
      <c r="AI104">
        <v>50211830</v>
      </c>
      <c r="AJ104">
        <v>105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ROW(Source!A166)</f>
        <v>166</v>
      </c>
      <c r="B105">
        <v>50211840</v>
      </c>
      <c r="C105">
        <v>50211824</v>
      </c>
      <c r="D105">
        <v>45853218</v>
      </c>
      <c r="E105">
        <v>1</v>
      </c>
      <c r="F105">
        <v>1</v>
      </c>
      <c r="G105">
        <v>1</v>
      </c>
      <c r="H105">
        <v>3</v>
      </c>
      <c r="I105" t="s">
        <v>241</v>
      </c>
      <c r="J105" t="s">
        <v>243</v>
      </c>
      <c r="K105" t="s">
        <v>242</v>
      </c>
      <c r="L105">
        <v>1339</v>
      </c>
      <c r="N105">
        <v>1007</v>
      </c>
      <c r="O105" t="s">
        <v>153</v>
      </c>
      <c r="P105" t="s">
        <v>153</v>
      </c>
      <c r="Q105">
        <v>1</v>
      </c>
      <c r="X105">
        <v>5.9</v>
      </c>
      <c r="Y105">
        <v>550.19000000000005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5.9</v>
      </c>
      <c r="AH105">
        <v>2</v>
      </c>
      <c r="AI105">
        <v>50211831</v>
      </c>
      <c r="AJ105">
        <v>106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ROW(Source!A166)</f>
        <v>166</v>
      </c>
      <c r="B106">
        <v>50211841</v>
      </c>
      <c r="C106">
        <v>50211824</v>
      </c>
      <c r="D106">
        <v>45853757</v>
      </c>
      <c r="E106">
        <v>1</v>
      </c>
      <c r="F106">
        <v>1</v>
      </c>
      <c r="G106">
        <v>1</v>
      </c>
      <c r="H106">
        <v>3</v>
      </c>
      <c r="I106" t="s">
        <v>246</v>
      </c>
      <c r="J106" t="s">
        <v>248</v>
      </c>
      <c r="K106" t="s">
        <v>247</v>
      </c>
      <c r="L106">
        <v>1339</v>
      </c>
      <c r="N106">
        <v>1007</v>
      </c>
      <c r="O106" t="s">
        <v>153</v>
      </c>
      <c r="P106" t="s">
        <v>153</v>
      </c>
      <c r="Q106">
        <v>1</v>
      </c>
      <c r="X106">
        <v>0.06</v>
      </c>
      <c r="Y106">
        <v>484.14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0.06</v>
      </c>
      <c r="AH106">
        <v>2</v>
      </c>
      <c r="AI106">
        <v>50211832</v>
      </c>
      <c r="AJ106">
        <v>107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ROW(Source!A166)</f>
        <v>166</v>
      </c>
      <c r="B107">
        <v>50211842</v>
      </c>
      <c r="C107">
        <v>50211824</v>
      </c>
      <c r="D107">
        <v>45866521</v>
      </c>
      <c r="E107">
        <v>1</v>
      </c>
      <c r="F107">
        <v>1</v>
      </c>
      <c r="G107">
        <v>1</v>
      </c>
      <c r="H107">
        <v>3</v>
      </c>
      <c r="I107" t="s">
        <v>653</v>
      </c>
      <c r="J107" t="s">
        <v>654</v>
      </c>
      <c r="K107" t="s">
        <v>655</v>
      </c>
      <c r="L107">
        <v>1301</v>
      </c>
      <c r="N107">
        <v>1003</v>
      </c>
      <c r="O107" t="s">
        <v>349</v>
      </c>
      <c r="P107" t="s">
        <v>349</v>
      </c>
      <c r="Q107">
        <v>1</v>
      </c>
      <c r="X107">
        <v>100</v>
      </c>
      <c r="Y107">
        <v>0</v>
      </c>
      <c r="Z107">
        <v>0</v>
      </c>
      <c r="AA107">
        <v>0</v>
      </c>
      <c r="AB107">
        <v>0</v>
      </c>
      <c r="AC107">
        <v>1</v>
      </c>
      <c r="AD107">
        <v>0</v>
      </c>
      <c r="AE107">
        <v>0</v>
      </c>
      <c r="AF107" t="s">
        <v>3</v>
      </c>
      <c r="AG107">
        <v>100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ROW(Source!A168)</f>
        <v>168</v>
      </c>
      <c r="B108">
        <v>50211846</v>
      </c>
      <c r="C108">
        <v>50211844</v>
      </c>
      <c r="D108">
        <v>45981686</v>
      </c>
      <c r="E108">
        <v>1</v>
      </c>
      <c r="F108">
        <v>1</v>
      </c>
      <c r="G108">
        <v>1</v>
      </c>
      <c r="H108">
        <v>1</v>
      </c>
      <c r="I108" t="s">
        <v>556</v>
      </c>
      <c r="J108" t="s">
        <v>3</v>
      </c>
      <c r="K108" t="s">
        <v>557</v>
      </c>
      <c r="L108">
        <v>1476</v>
      </c>
      <c r="N108">
        <v>1013</v>
      </c>
      <c r="O108" t="s">
        <v>447</v>
      </c>
      <c r="P108" t="s">
        <v>448</v>
      </c>
      <c r="Q108">
        <v>1</v>
      </c>
      <c r="X108">
        <v>88.5</v>
      </c>
      <c r="Y108">
        <v>0</v>
      </c>
      <c r="Z108">
        <v>0</v>
      </c>
      <c r="AA108">
        <v>0</v>
      </c>
      <c r="AB108">
        <v>6.1</v>
      </c>
      <c r="AC108">
        <v>0</v>
      </c>
      <c r="AD108">
        <v>1</v>
      </c>
      <c r="AE108">
        <v>1</v>
      </c>
      <c r="AF108" t="s">
        <v>12</v>
      </c>
      <c r="AG108">
        <v>101.77499999999999</v>
      </c>
      <c r="AH108">
        <v>2</v>
      </c>
      <c r="AI108">
        <v>50211845</v>
      </c>
      <c r="AJ108">
        <v>109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ROW(Source!A206)</f>
        <v>206</v>
      </c>
      <c r="B109">
        <v>50211851</v>
      </c>
      <c r="C109">
        <v>50211849</v>
      </c>
      <c r="D109">
        <v>45975178</v>
      </c>
      <c r="E109">
        <v>1</v>
      </c>
      <c r="F109">
        <v>1</v>
      </c>
      <c r="G109">
        <v>1</v>
      </c>
      <c r="H109">
        <v>1</v>
      </c>
      <c r="I109" t="s">
        <v>453</v>
      </c>
      <c r="J109" t="s">
        <v>3</v>
      </c>
      <c r="K109" t="s">
        <v>454</v>
      </c>
      <c r="L109">
        <v>1476</v>
      </c>
      <c r="N109">
        <v>1013</v>
      </c>
      <c r="O109" t="s">
        <v>447</v>
      </c>
      <c r="P109" t="s">
        <v>448</v>
      </c>
      <c r="Q109">
        <v>1</v>
      </c>
      <c r="X109">
        <v>154</v>
      </c>
      <c r="Y109">
        <v>0</v>
      </c>
      <c r="Z109">
        <v>0</v>
      </c>
      <c r="AA109">
        <v>0</v>
      </c>
      <c r="AB109">
        <v>6.35</v>
      </c>
      <c r="AC109">
        <v>0</v>
      </c>
      <c r="AD109">
        <v>1</v>
      </c>
      <c r="AE109">
        <v>1</v>
      </c>
      <c r="AF109" t="s">
        <v>12</v>
      </c>
      <c r="AG109">
        <v>177.1</v>
      </c>
      <c r="AH109">
        <v>2</v>
      </c>
      <c r="AI109">
        <v>50211850</v>
      </c>
      <c r="AJ109">
        <v>110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ROW(Source!A207)</f>
        <v>207</v>
      </c>
      <c r="B110">
        <v>50211862</v>
      </c>
      <c r="C110">
        <v>50211852</v>
      </c>
      <c r="D110">
        <v>45978326</v>
      </c>
      <c r="E110">
        <v>1</v>
      </c>
      <c r="F110">
        <v>1</v>
      </c>
      <c r="G110">
        <v>1</v>
      </c>
      <c r="H110">
        <v>1</v>
      </c>
      <c r="I110" t="s">
        <v>507</v>
      </c>
      <c r="J110" t="s">
        <v>3</v>
      </c>
      <c r="K110" t="s">
        <v>508</v>
      </c>
      <c r="L110">
        <v>1476</v>
      </c>
      <c r="N110">
        <v>1013</v>
      </c>
      <c r="O110" t="s">
        <v>447</v>
      </c>
      <c r="P110" t="s">
        <v>448</v>
      </c>
      <c r="Q110">
        <v>1</v>
      </c>
      <c r="X110">
        <v>24.19</v>
      </c>
      <c r="Y110">
        <v>0</v>
      </c>
      <c r="Z110">
        <v>0</v>
      </c>
      <c r="AA110">
        <v>0</v>
      </c>
      <c r="AB110">
        <v>6.58</v>
      </c>
      <c r="AC110">
        <v>0</v>
      </c>
      <c r="AD110">
        <v>1</v>
      </c>
      <c r="AE110">
        <v>1</v>
      </c>
      <c r="AF110" t="s">
        <v>12</v>
      </c>
      <c r="AG110">
        <v>27.8185</v>
      </c>
      <c r="AH110">
        <v>2</v>
      </c>
      <c r="AI110">
        <v>50211853</v>
      </c>
      <c r="AJ110">
        <v>111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ROW(Source!A207)</f>
        <v>207</v>
      </c>
      <c r="B111">
        <v>50211863</v>
      </c>
      <c r="C111">
        <v>50211852</v>
      </c>
      <c r="D111">
        <v>121548</v>
      </c>
      <c r="E111">
        <v>1</v>
      </c>
      <c r="F111">
        <v>1</v>
      </c>
      <c r="G111">
        <v>1</v>
      </c>
      <c r="H111">
        <v>1</v>
      </c>
      <c r="I111" t="s">
        <v>25</v>
      </c>
      <c r="J111" t="s">
        <v>3</v>
      </c>
      <c r="K111" t="s">
        <v>463</v>
      </c>
      <c r="L111">
        <v>608254</v>
      </c>
      <c r="N111">
        <v>1013</v>
      </c>
      <c r="O111" t="s">
        <v>464</v>
      </c>
      <c r="P111" t="s">
        <v>464</v>
      </c>
      <c r="Q111">
        <v>1</v>
      </c>
      <c r="X111">
        <v>20.6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2</v>
      </c>
      <c r="AF111" t="s">
        <v>11</v>
      </c>
      <c r="AG111">
        <v>25.75</v>
      </c>
      <c r="AH111">
        <v>2</v>
      </c>
      <c r="AI111">
        <v>50211854</v>
      </c>
      <c r="AJ111">
        <v>112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ROW(Source!A207)</f>
        <v>207</v>
      </c>
      <c r="B112">
        <v>50211864</v>
      </c>
      <c r="C112">
        <v>50211852</v>
      </c>
      <c r="D112">
        <v>45811426</v>
      </c>
      <c r="E112">
        <v>1</v>
      </c>
      <c r="F112">
        <v>1</v>
      </c>
      <c r="G112">
        <v>1</v>
      </c>
      <c r="H112">
        <v>2</v>
      </c>
      <c r="I112" t="s">
        <v>498</v>
      </c>
      <c r="J112" t="s">
        <v>499</v>
      </c>
      <c r="K112" t="s">
        <v>500</v>
      </c>
      <c r="L112">
        <v>45811227</v>
      </c>
      <c r="N112">
        <v>1013</v>
      </c>
      <c r="O112" t="s">
        <v>452</v>
      </c>
      <c r="P112" t="s">
        <v>452</v>
      </c>
      <c r="Q112">
        <v>1</v>
      </c>
      <c r="X112">
        <v>2.46</v>
      </c>
      <c r="Y112">
        <v>0</v>
      </c>
      <c r="Z112">
        <v>89.81</v>
      </c>
      <c r="AA112">
        <v>9.8800000000000008</v>
      </c>
      <c r="AB112">
        <v>0</v>
      </c>
      <c r="AC112">
        <v>0</v>
      </c>
      <c r="AD112">
        <v>1</v>
      </c>
      <c r="AE112">
        <v>0</v>
      </c>
      <c r="AF112" t="s">
        <v>11</v>
      </c>
      <c r="AG112">
        <v>3.0750000000000002</v>
      </c>
      <c r="AH112">
        <v>2</v>
      </c>
      <c r="AI112">
        <v>50211855</v>
      </c>
      <c r="AJ112">
        <v>113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ROW(Source!A207)</f>
        <v>207</v>
      </c>
      <c r="B113">
        <v>50211865</v>
      </c>
      <c r="C113">
        <v>50211852</v>
      </c>
      <c r="D113">
        <v>45811709</v>
      </c>
      <c r="E113">
        <v>1</v>
      </c>
      <c r="F113">
        <v>1</v>
      </c>
      <c r="G113">
        <v>1</v>
      </c>
      <c r="H113">
        <v>2</v>
      </c>
      <c r="I113" t="s">
        <v>468</v>
      </c>
      <c r="J113" t="s">
        <v>469</v>
      </c>
      <c r="K113" t="s">
        <v>470</v>
      </c>
      <c r="L113">
        <v>45811227</v>
      </c>
      <c r="N113">
        <v>1013</v>
      </c>
      <c r="O113" t="s">
        <v>452</v>
      </c>
      <c r="P113" t="s">
        <v>452</v>
      </c>
      <c r="Q113">
        <v>1</v>
      </c>
      <c r="X113">
        <v>2.59</v>
      </c>
      <c r="Y113">
        <v>0</v>
      </c>
      <c r="Z113">
        <v>79.75</v>
      </c>
      <c r="AA113">
        <v>13.26</v>
      </c>
      <c r="AB113">
        <v>0</v>
      </c>
      <c r="AC113">
        <v>0</v>
      </c>
      <c r="AD113">
        <v>1</v>
      </c>
      <c r="AE113">
        <v>0</v>
      </c>
      <c r="AF113" t="s">
        <v>11</v>
      </c>
      <c r="AG113">
        <v>3.2374999999999998</v>
      </c>
      <c r="AH113">
        <v>2</v>
      </c>
      <c r="AI113">
        <v>50211856</v>
      </c>
      <c r="AJ113">
        <v>114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ROW(Source!A207)</f>
        <v>207</v>
      </c>
      <c r="B114">
        <v>50211866</v>
      </c>
      <c r="C114">
        <v>50211852</v>
      </c>
      <c r="D114">
        <v>45811921</v>
      </c>
      <c r="E114">
        <v>1</v>
      </c>
      <c r="F114">
        <v>1</v>
      </c>
      <c r="G114">
        <v>1</v>
      </c>
      <c r="H114">
        <v>2</v>
      </c>
      <c r="I114" t="s">
        <v>501</v>
      </c>
      <c r="J114" t="s">
        <v>502</v>
      </c>
      <c r="K114" t="s">
        <v>503</v>
      </c>
      <c r="L114">
        <v>45811227</v>
      </c>
      <c r="N114">
        <v>1013</v>
      </c>
      <c r="O114" t="s">
        <v>452</v>
      </c>
      <c r="P114" t="s">
        <v>452</v>
      </c>
      <c r="Q114">
        <v>1</v>
      </c>
      <c r="X114">
        <v>2.2999999999999998</v>
      </c>
      <c r="Y114">
        <v>0</v>
      </c>
      <c r="Z114">
        <v>122.76</v>
      </c>
      <c r="AA114">
        <v>13.26</v>
      </c>
      <c r="AB114">
        <v>0</v>
      </c>
      <c r="AC114">
        <v>0</v>
      </c>
      <c r="AD114">
        <v>1</v>
      </c>
      <c r="AE114">
        <v>0</v>
      </c>
      <c r="AF114" t="s">
        <v>11</v>
      </c>
      <c r="AG114">
        <v>2.875</v>
      </c>
      <c r="AH114">
        <v>2</v>
      </c>
      <c r="AI114">
        <v>50211857</v>
      </c>
      <c r="AJ114">
        <v>115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ROW(Source!A207)</f>
        <v>207</v>
      </c>
      <c r="B115">
        <v>50211867</v>
      </c>
      <c r="C115">
        <v>50211852</v>
      </c>
      <c r="D115">
        <v>45811951</v>
      </c>
      <c r="E115">
        <v>1</v>
      </c>
      <c r="F115">
        <v>1</v>
      </c>
      <c r="G115">
        <v>1</v>
      </c>
      <c r="H115">
        <v>2</v>
      </c>
      <c r="I115" t="s">
        <v>504</v>
      </c>
      <c r="J115" t="s">
        <v>505</v>
      </c>
      <c r="K115" t="s">
        <v>506</v>
      </c>
      <c r="L115">
        <v>45811227</v>
      </c>
      <c r="N115">
        <v>1013</v>
      </c>
      <c r="O115" t="s">
        <v>452</v>
      </c>
      <c r="P115" t="s">
        <v>452</v>
      </c>
      <c r="Q115">
        <v>1</v>
      </c>
      <c r="X115">
        <v>12.21</v>
      </c>
      <c r="Y115">
        <v>0</v>
      </c>
      <c r="Z115">
        <v>205.75</v>
      </c>
      <c r="AA115">
        <v>14.14</v>
      </c>
      <c r="AB115">
        <v>0</v>
      </c>
      <c r="AC115">
        <v>0</v>
      </c>
      <c r="AD115">
        <v>1</v>
      </c>
      <c r="AE115">
        <v>0</v>
      </c>
      <c r="AF115" t="s">
        <v>11</v>
      </c>
      <c r="AG115">
        <v>15.262500000000001</v>
      </c>
      <c r="AH115">
        <v>2</v>
      </c>
      <c r="AI115">
        <v>50211858</v>
      </c>
      <c r="AJ115">
        <v>116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ROW(Source!A207)</f>
        <v>207</v>
      </c>
      <c r="B116">
        <v>50211868</v>
      </c>
      <c r="C116">
        <v>50211852</v>
      </c>
      <c r="D116">
        <v>45812009</v>
      </c>
      <c r="E116">
        <v>1</v>
      </c>
      <c r="F116">
        <v>1</v>
      </c>
      <c r="G116">
        <v>1</v>
      </c>
      <c r="H116">
        <v>2</v>
      </c>
      <c r="I116" t="s">
        <v>479</v>
      </c>
      <c r="J116" t="s">
        <v>480</v>
      </c>
      <c r="K116" t="s">
        <v>481</v>
      </c>
      <c r="L116">
        <v>45811227</v>
      </c>
      <c r="N116">
        <v>1013</v>
      </c>
      <c r="O116" t="s">
        <v>452</v>
      </c>
      <c r="P116" t="s">
        <v>452</v>
      </c>
      <c r="Q116">
        <v>1</v>
      </c>
      <c r="X116">
        <v>1.04</v>
      </c>
      <c r="Y116">
        <v>0</v>
      </c>
      <c r="Z116">
        <v>110</v>
      </c>
      <c r="AA116">
        <v>11.38</v>
      </c>
      <c r="AB116">
        <v>0</v>
      </c>
      <c r="AC116">
        <v>0</v>
      </c>
      <c r="AD116">
        <v>1</v>
      </c>
      <c r="AE116">
        <v>0</v>
      </c>
      <c r="AF116" t="s">
        <v>11</v>
      </c>
      <c r="AG116">
        <v>1.3</v>
      </c>
      <c r="AH116">
        <v>2</v>
      </c>
      <c r="AI116">
        <v>50211859</v>
      </c>
      <c r="AJ116">
        <v>117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ROW(Source!A207)</f>
        <v>207</v>
      </c>
      <c r="B117">
        <v>50211869</v>
      </c>
      <c r="C117">
        <v>50211852</v>
      </c>
      <c r="D117">
        <v>45865150</v>
      </c>
      <c r="E117">
        <v>1</v>
      </c>
      <c r="F117">
        <v>1</v>
      </c>
      <c r="G117">
        <v>1</v>
      </c>
      <c r="H117">
        <v>3</v>
      </c>
      <c r="I117" t="s">
        <v>650</v>
      </c>
      <c r="J117" t="s">
        <v>651</v>
      </c>
      <c r="K117" t="s">
        <v>652</v>
      </c>
      <c r="L117">
        <v>1339</v>
      </c>
      <c r="N117">
        <v>1007</v>
      </c>
      <c r="O117" t="s">
        <v>153</v>
      </c>
      <c r="P117" t="s">
        <v>153</v>
      </c>
      <c r="Q117">
        <v>1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1</v>
      </c>
      <c r="AD117">
        <v>0</v>
      </c>
      <c r="AE117">
        <v>0</v>
      </c>
      <c r="AF117" t="s">
        <v>3</v>
      </c>
      <c r="AG117">
        <v>0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ROW(Source!A207)</f>
        <v>207</v>
      </c>
      <c r="B118">
        <v>50211870</v>
      </c>
      <c r="C118">
        <v>50211852</v>
      </c>
      <c r="D118">
        <v>45865353</v>
      </c>
      <c r="E118">
        <v>1</v>
      </c>
      <c r="F118">
        <v>1</v>
      </c>
      <c r="G118">
        <v>1</v>
      </c>
      <c r="H118">
        <v>3</v>
      </c>
      <c r="I118" t="s">
        <v>488</v>
      </c>
      <c r="J118" t="s">
        <v>489</v>
      </c>
      <c r="K118" t="s">
        <v>490</v>
      </c>
      <c r="L118">
        <v>1339</v>
      </c>
      <c r="N118">
        <v>1007</v>
      </c>
      <c r="O118" t="s">
        <v>153</v>
      </c>
      <c r="P118" t="s">
        <v>153</v>
      </c>
      <c r="Q118">
        <v>1</v>
      </c>
      <c r="X118">
        <v>7</v>
      </c>
      <c r="Y118">
        <v>2.2599999999999998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7</v>
      </c>
      <c r="AH118">
        <v>2</v>
      </c>
      <c r="AI118">
        <v>50211861</v>
      </c>
      <c r="AJ118">
        <v>119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ROW(Source!A209)</f>
        <v>209</v>
      </c>
      <c r="B119">
        <v>50211884</v>
      </c>
      <c r="C119">
        <v>50211872</v>
      </c>
      <c r="D119">
        <v>45976914</v>
      </c>
      <c r="E119">
        <v>1</v>
      </c>
      <c r="F119">
        <v>1</v>
      </c>
      <c r="G119">
        <v>1</v>
      </c>
      <c r="H119">
        <v>1</v>
      </c>
      <c r="I119" t="s">
        <v>474</v>
      </c>
      <c r="J119" t="s">
        <v>3</v>
      </c>
      <c r="K119" t="s">
        <v>475</v>
      </c>
      <c r="L119">
        <v>1476</v>
      </c>
      <c r="N119">
        <v>1013</v>
      </c>
      <c r="O119" t="s">
        <v>447</v>
      </c>
      <c r="P119" t="s">
        <v>448</v>
      </c>
      <c r="Q119">
        <v>1</v>
      </c>
      <c r="X119">
        <v>76.08</v>
      </c>
      <c r="Y119">
        <v>0</v>
      </c>
      <c r="Z119">
        <v>0</v>
      </c>
      <c r="AA119">
        <v>0</v>
      </c>
      <c r="AB119">
        <v>6.88</v>
      </c>
      <c r="AC119">
        <v>0</v>
      </c>
      <c r="AD119">
        <v>1</v>
      </c>
      <c r="AE119">
        <v>1</v>
      </c>
      <c r="AF119" t="s">
        <v>12</v>
      </c>
      <c r="AG119">
        <v>87.49199999999999</v>
      </c>
      <c r="AH119">
        <v>2</v>
      </c>
      <c r="AI119">
        <v>50211873</v>
      </c>
      <c r="AJ119">
        <v>120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ROW(Source!A209)</f>
        <v>209</v>
      </c>
      <c r="B120">
        <v>50211885</v>
      </c>
      <c r="C120">
        <v>50211872</v>
      </c>
      <c r="D120">
        <v>121548</v>
      </c>
      <c r="E120">
        <v>1</v>
      </c>
      <c r="F120">
        <v>1</v>
      </c>
      <c r="G120">
        <v>1</v>
      </c>
      <c r="H120">
        <v>1</v>
      </c>
      <c r="I120" t="s">
        <v>25</v>
      </c>
      <c r="J120" t="s">
        <v>3</v>
      </c>
      <c r="K120" t="s">
        <v>463</v>
      </c>
      <c r="L120">
        <v>608254</v>
      </c>
      <c r="N120">
        <v>1013</v>
      </c>
      <c r="O120" t="s">
        <v>464</v>
      </c>
      <c r="P120" t="s">
        <v>464</v>
      </c>
      <c r="Q120">
        <v>1</v>
      </c>
      <c r="X120">
        <v>0.68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2</v>
      </c>
      <c r="AF120" t="s">
        <v>11</v>
      </c>
      <c r="AG120">
        <v>0.85000000000000009</v>
      </c>
      <c r="AH120">
        <v>2</v>
      </c>
      <c r="AI120">
        <v>50211874</v>
      </c>
      <c r="AJ120">
        <v>121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ROW(Source!A209)</f>
        <v>209</v>
      </c>
      <c r="B121">
        <v>50211886</v>
      </c>
      <c r="C121">
        <v>50211872</v>
      </c>
      <c r="D121">
        <v>45811353</v>
      </c>
      <c r="E121">
        <v>1</v>
      </c>
      <c r="F121">
        <v>1</v>
      </c>
      <c r="G121">
        <v>1</v>
      </c>
      <c r="H121">
        <v>2</v>
      </c>
      <c r="I121" t="s">
        <v>517</v>
      </c>
      <c r="J121" t="s">
        <v>518</v>
      </c>
      <c r="K121" t="s">
        <v>519</v>
      </c>
      <c r="L121">
        <v>45811227</v>
      </c>
      <c r="N121">
        <v>1013</v>
      </c>
      <c r="O121" t="s">
        <v>452</v>
      </c>
      <c r="P121" t="s">
        <v>452</v>
      </c>
      <c r="Q121">
        <v>1</v>
      </c>
      <c r="X121">
        <v>0.68</v>
      </c>
      <c r="Y121">
        <v>0</v>
      </c>
      <c r="Z121">
        <v>111.75</v>
      </c>
      <c r="AA121">
        <v>13.26</v>
      </c>
      <c r="AB121">
        <v>0</v>
      </c>
      <c r="AC121">
        <v>0</v>
      </c>
      <c r="AD121">
        <v>1</v>
      </c>
      <c r="AE121">
        <v>0</v>
      </c>
      <c r="AF121" t="s">
        <v>11</v>
      </c>
      <c r="AG121">
        <v>0.85000000000000009</v>
      </c>
      <c r="AH121">
        <v>2</v>
      </c>
      <c r="AI121">
        <v>50211875</v>
      </c>
      <c r="AJ121">
        <v>122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ROW(Source!A209)</f>
        <v>209</v>
      </c>
      <c r="B122">
        <v>50211887</v>
      </c>
      <c r="C122">
        <v>50211872</v>
      </c>
      <c r="D122">
        <v>45813321</v>
      </c>
      <c r="E122">
        <v>1</v>
      </c>
      <c r="F122">
        <v>1</v>
      </c>
      <c r="G122">
        <v>1</v>
      </c>
      <c r="H122">
        <v>2</v>
      </c>
      <c r="I122" t="s">
        <v>532</v>
      </c>
      <c r="J122" t="s">
        <v>533</v>
      </c>
      <c r="K122" t="s">
        <v>534</v>
      </c>
      <c r="L122">
        <v>45811227</v>
      </c>
      <c r="N122">
        <v>1013</v>
      </c>
      <c r="O122" t="s">
        <v>452</v>
      </c>
      <c r="P122" t="s">
        <v>452</v>
      </c>
      <c r="Q122">
        <v>1</v>
      </c>
      <c r="X122">
        <v>0.04</v>
      </c>
      <c r="Y122">
        <v>0</v>
      </c>
      <c r="Z122">
        <v>86.55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11</v>
      </c>
      <c r="AG122">
        <v>0.05</v>
      </c>
      <c r="AH122">
        <v>2</v>
      </c>
      <c r="AI122">
        <v>50211876</v>
      </c>
      <c r="AJ122">
        <v>123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ROW(Source!A209)</f>
        <v>209</v>
      </c>
      <c r="B123">
        <v>50211888</v>
      </c>
      <c r="C123">
        <v>50211872</v>
      </c>
      <c r="D123">
        <v>45816422</v>
      </c>
      <c r="E123">
        <v>1</v>
      </c>
      <c r="F123">
        <v>1</v>
      </c>
      <c r="G123">
        <v>1</v>
      </c>
      <c r="H123">
        <v>3</v>
      </c>
      <c r="I123" t="s">
        <v>550</v>
      </c>
      <c r="J123" t="s">
        <v>551</v>
      </c>
      <c r="K123" t="s">
        <v>552</v>
      </c>
      <c r="L123">
        <v>1348</v>
      </c>
      <c r="N123">
        <v>1009</v>
      </c>
      <c r="O123" t="s">
        <v>190</v>
      </c>
      <c r="P123" t="s">
        <v>190</v>
      </c>
      <c r="Q123">
        <v>1000</v>
      </c>
      <c r="X123">
        <v>1E-3</v>
      </c>
      <c r="Y123">
        <v>10992.4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1E-3</v>
      </c>
      <c r="AH123">
        <v>2</v>
      </c>
      <c r="AI123">
        <v>50211877</v>
      </c>
      <c r="AJ123">
        <v>124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ROW(Source!A209)</f>
        <v>209</v>
      </c>
      <c r="B124">
        <v>50211889</v>
      </c>
      <c r="C124">
        <v>50211872</v>
      </c>
      <c r="D124">
        <v>45823107</v>
      </c>
      <c r="E124">
        <v>1</v>
      </c>
      <c r="F124">
        <v>1</v>
      </c>
      <c r="G124">
        <v>1</v>
      </c>
      <c r="H124">
        <v>3</v>
      </c>
      <c r="I124" t="s">
        <v>553</v>
      </c>
      <c r="J124" t="s">
        <v>554</v>
      </c>
      <c r="K124" t="s">
        <v>555</v>
      </c>
      <c r="L124">
        <v>1339</v>
      </c>
      <c r="N124">
        <v>1007</v>
      </c>
      <c r="O124" t="s">
        <v>153</v>
      </c>
      <c r="P124" t="s">
        <v>153</v>
      </c>
      <c r="Q124">
        <v>1</v>
      </c>
      <c r="X124">
        <v>0.17</v>
      </c>
      <c r="Y124">
        <v>813.06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0.17</v>
      </c>
      <c r="AH124">
        <v>2</v>
      </c>
      <c r="AI124">
        <v>50211878</v>
      </c>
      <c r="AJ124">
        <v>125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ROW(Source!A209)</f>
        <v>209</v>
      </c>
      <c r="B125">
        <v>50211890</v>
      </c>
      <c r="C125">
        <v>50211872</v>
      </c>
      <c r="D125">
        <v>45853218</v>
      </c>
      <c r="E125">
        <v>1</v>
      </c>
      <c r="F125">
        <v>1</v>
      </c>
      <c r="G125">
        <v>1</v>
      </c>
      <c r="H125">
        <v>3</v>
      </c>
      <c r="I125" t="s">
        <v>241</v>
      </c>
      <c r="J125" t="s">
        <v>243</v>
      </c>
      <c r="K125" t="s">
        <v>242</v>
      </c>
      <c r="L125">
        <v>1339</v>
      </c>
      <c r="N125">
        <v>1007</v>
      </c>
      <c r="O125" t="s">
        <v>153</v>
      </c>
      <c r="P125" t="s">
        <v>153</v>
      </c>
      <c r="Q125">
        <v>1</v>
      </c>
      <c r="X125">
        <v>5.9</v>
      </c>
      <c r="Y125">
        <v>550.19000000000005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5.9</v>
      </c>
      <c r="AH125">
        <v>2</v>
      </c>
      <c r="AI125">
        <v>50211879</v>
      </c>
      <c r="AJ125">
        <v>126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ROW(Source!A209)</f>
        <v>209</v>
      </c>
      <c r="B126">
        <v>50211891</v>
      </c>
      <c r="C126">
        <v>50211872</v>
      </c>
      <c r="D126">
        <v>45853757</v>
      </c>
      <c r="E126">
        <v>1</v>
      </c>
      <c r="F126">
        <v>1</v>
      </c>
      <c r="G126">
        <v>1</v>
      </c>
      <c r="H126">
        <v>3</v>
      </c>
      <c r="I126" t="s">
        <v>246</v>
      </c>
      <c r="J126" t="s">
        <v>248</v>
      </c>
      <c r="K126" t="s">
        <v>247</v>
      </c>
      <c r="L126">
        <v>1339</v>
      </c>
      <c r="N126">
        <v>1007</v>
      </c>
      <c r="O126" t="s">
        <v>153</v>
      </c>
      <c r="P126" t="s">
        <v>153</v>
      </c>
      <c r="Q126">
        <v>1</v>
      </c>
      <c r="X126">
        <v>0.06</v>
      </c>
      <c r="Y126">
        <v>484.14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0.06</v>
      </c>
      <c r="AH126">
        <v>2</v>
      </c>
      <c r="AI126">
        <v>50211880</v>
      </c>
      <c r="AJ126">
        <v>128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ROW(Source!A209)</f>
        <v>209</v>
      </c>
      <c r="B127">
        <v>50211892</v>
      </c>
      <c r="C127">
        <v>50211872</v>
      </c>
      <c r="D127">
        <v>45866521</v>
      </c>
      <c r="E127">
        <v>1</v>
      </c>
      <c r="F127">
        <v>1</v>
      </c>
      <c r="G127">
        <v>1</v>
      </c>
      <c r="H127">
        <v>3</v>
      </c>
      <c r="I127" t="s">
        <v>653</v>
      </c>
      <c r="J127" t="s">
        <v>654</v>
      </c>
      <c r="K127" t="s">
        <v>655</v>
      </c>
      <c r="L127">
        <v>1301</v>
      </c>
      <c r="N127">
        <v>1003</v>
      </c>
      <c r="O127" t="s">
        <v>349</v>
      </c>
      <c r="P127" t="s">
        <v>349</v>
      </c>
      <c r="Q127">
        <v>1</v>
      </c>
      <c r="X127">
        <v>100</v>
      </c>
      <c r="Y127">
        <v>0</v>
      </c>
      <c r="Z127">
        <v>0</v>
      </c>
      <c r="AA127">
        <v>0</v>
      </c>
      <c r="AB127">
        <v>0</v>
      </c>
      <c r="AC127">
        <v>1</v>
      </c>
      <c r="AD127">
        <v>0</v>
      </c>
      <c r="AE127">
        <v>0</v>
      </c>
      <c r="AF127" t="s">
        <v>3</v>
      </c>
      <c r="AG127">
        <v>100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ROW(Source!A215)</f>
        <v>215</v>
      </c>
      <c r="B128">
        <v>50211900</v>
      </c>
      <c r="C128">
        <v>50211898</v>
      </c>
      <c r="D128">
        <v>45981686</v>
      </c>
      <c r="E128">
        <v>1</v>
      </c>
      <c r="F128">
        <v>1</v>
      </c>
      <c r="G128">
        <v>1</v>
      </c>
      <c r="H128">
        <v>1</v>
      </c>
      <c r="I128" t="s">
        <v>556</v>
      </c>
      <c r="J128" t="s">
        <v>3</v>
      </c>
      <c r="K128" t="s">
        <v>557</v>
      </c>
      <c r="L128">
        <v>1476</v>
      </c>
      <c r="N128">
        <v>1013</v>
      </c>
      <c r="O128" t="s">
        <v>447</v>
      </c>
      <c r="P128" t="s">
        <v>448</v>
      </c>
      <c r="Q128">
        <v>1</v>
      </c>
      <c r="X128">
        <v>88.5</v>
      </c>
      <c r="Y128">
        <v>0</v>
      </c>
      <c r="Z128">
        <v>0</v>
      </c>
      <c r="AA128">
        <v>0</v>
      </c>
      <c r="AB128">
        <v>6.1</v>
      </c>
      <c r="AC128">
        <v>0</v>
      </c>
      <c r="AD128">
        <v>1</v>
      </c>
      <c r="AE128">
        <v>1</v>
      </c>
      <c r="AF128" t="s">
        <v>12</v>
      </c>
      <c r="AG128">
        <v>101.77499999999999</v>
      </c>
      <c r="AH128">
        <v>2</v>
      </c>
      <c r="AI128">
        <v>50211899</v>
      </c>
      <c r="AJ128">
        <v>131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ROW(Source!A253)</f>
        <v>253</v>
      </c>
      <c r="B129">
        <v>50211913</v>
      </c>
      <c r="C129">
        <v>50211903</v>
      </c>
      <c r="D129">
        <v>45978326</v>
      </c>
      <c r="E129">
        <v>1</v>
      </c>
      <c r="F129">
        <v>1</v>
      </c>
      <c r="G129">
        <v>1</v>
      </c>
      <c r="H129">
        <v>1</v>
      </c>
      <c r="I129" t="s">
        <v>507</v>
      </c>
      <c r="J129" t="s">
        <v>3</v>
      </c>
      <c r="K129" t="s">
        <v>508</v>
      </c>
      <c r="L129">
        <v>1476</v>
      </c>
      <c r="N129">
        <v>1013</v>
      </c>
      <c r="O129" t="s">
        <v>447</v>
      </c>
      <c r="P129" t="s">
        <v>448</v>
      </c>
      <c r="Q129">
        <v>1</v>
      </c>
      <c r="X129">
        <v>24.19</v>
      </c>
      <c r="Y129">
        <v>0</v>
      </c>
      <c r="Z129">
        <v>0</v>
      </c>
      <c r="AA129">
        <v>0</v>
      </c>
      <c r="AB129">
        <v>6.58</v>
      </c>
      <c r="AC129">
        <v>0</v>
      </c>
      <c r="AD129">
        <v>1</v>
      </c>
      <c r="AE129">
        <v>1</v>
      </c>
      <c r="AF129" t="s">
        <v>12</v>
      </c>
      <c r="AG129">
        <v>27.8185</v>
      </c>
      <c r="AH129">
        <v>2</v>
      </c>
      <c r="AI129">
        <v>50211904</v>
      </c>
      <c r="AJ129">
        <v>132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ROW(Source!A253)</f>
        <v>253</v>
      </c>
      <c r="B130">
        <v>50211914</v>
      </c>
      <c r="C130">
        <v>50211903</v>
      </c>
      <c r="D130">
        <v>121548</v>
      </c>
      <c r="E130">
        <v>1</v>
      </c>
      <c r="F130">
        <v>1</v>
      </c>
      <c r="G130">
        <v>1</v>
      </c>
      <c r="H130">
        <v>1</v>
      </c>
      <c r="I130" t="s">
        <v>25</v>
      </c>
      <c r="J130" t="s">
        <v>3</v>
      </c>
      <c r="K130" t="s">
        <v>463</v>
      </c>
      <c r="L130">
        <v>608254</v>
      </c>
      <c r="N130">
        <v>1013</v>
      </c>
      <c r="O130" t="s">
        <v>464</v>
      </c>
      <c r="P130" t="s">
        <v>464</v>
      </c>
      <c r="Q130">
        <v>1</v>
      </c>
      <c r="X130">
        <v>20.6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2</v>
      </c>
      <c r="AF130" t="s">
        <v>11</v>
      </c>
      <c r="AG130">
        <v>25.75</v>
      </c>
      <c r="AH130">
        <v>2</v>
      </c>
      <c r="AI130">
        <v>50211905</v>
      </c>
      <c r="AJ130">
        <v>133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ROW(Source!A253)</f>
        <v>253</v>
      </c>
      <c r="B131">
        <v>50211915</v>
      </c>
      <c r="C131">
        <v>50211903</v>
      </c>
      <c r="D131">
        <v>45811426</v>
      </c>
      <c r="E131">
        <v>1</v>
      </c>
      <c r="F131">
        <v>1</v>
      </c>
      <c r="G131">
        <v>1</v>
      </c>
      <c r="H131">
        <v>2</v>
      </c>
      <c r="I131" t="s">
        <v>498</v>
      </c>
      <c r="J131" t="s">
        <v>499</v>
      </c>
      <c r="K131" t="s">
        <v>500</v>
      </c>
      <c r="L131">
        <v>45811227</v>
      </c>
      <c r="N131">
        <v>1013</v>
      </c>
      <c r="O131" t="s">
        <v>452</v>
      </c>
      <c r="P131" t="s">
        <v>452</v>
      </c>
      <c r="Q131">
        <v>1</v>
      </c>
      <c r="X131">
        <v>2.46</v>
      </c>
      <c r="Y131">
        <v>0</v>
      </c>
      <c r="Z131">
        <v>89.81</v>
      </c>
      <c r="AA131">
        <v>9.8800000000000008</v>
      </c>
      <c r="AB131">
        <v>0</v>
      </c>
      <c r="AC131">
        <v>0</v>
      </c>
      <c r="AD131">
        <v>1</v>
      </c>
      <c r="AE131">
        <v>0</v>
      </c>
      <c r="AF131" t="s">
        <v>11</v>
      </c>
      <c r="AG131">
        <v>3.0750000000000002</v>
      </c>
      <c r="AH131">
        <v>2</v>
      </c>
      <c r="AI131">
        <v>50211906</v>
      </c>
      <c r="AJ131">
        <v>134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ROW(Source!A253)</f>
        <v>253</v>
      </c>
      <c r="B132">
        <v>50211916</v>
      </c>
      <c r="C132">
        <v>50211903</v>
      </c>
      <c r="D132">
        <v>45811709</v>
      </c>
      <c r="E132">
        <v>1</v>
      </c>
      <c r="F132">
        <v>1</v>
      </c>
      <c r="G132">
        <v>1</v>
      </c>
      <c r="H132">
        <v>2</v>
      </c>
      <c r="I132" t="s">
        <v>468</v>
      </c>
      <c r="J132" t="s">
        <v>469</v>
      </c>
      <c r="K132" t="s">
        <v>470</v>
      </c>
      <c r="L132">
        <v>45811227</v>
      </c>
      <c r="N132">
        <v>1013</v>
      </c>
      <c r="O132" t="s">
        <v>452</v>
      </c>
      <c r="P132" t="s">
        <v>452</v>
      </c>
      <c r="Q132">
        <v>1</v>
      </c>
      <c r="X132">
        <v>2.59</v>
      </c>
      <c r="Y132">
        <v>0</v>
      </c>
      <c r="Z132">
        <v>79.75</v>
      </c>
      <c r="AA132">
        <v>13.26</v>
      </c>
      <c r="AB132">
        <v>0</v>
      </c>
      <c r="AC132">
        <v>0</v>
      </c>
      <c r="AD132">
        <v>1</v>
      </c>
      <c r="AE132">
        <v>0</v>
      </c>
      <c r="AF132" t="s">
        <v>11</v>
      </c>
      <c r="AG132">
        <v>3.2374999999999998</v>
      </c>
      <c r="AH132">
        <v>2</v>
      </c>
      <c r="AI132">
        <v>50211907</v>
      </c>
      <c r="AJ132">
        <v>135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ROW(Source!A253)</f>
        <v>253</v>
      </c>
      <c r="B133">
        <v>50211917</v>
      </c>
      <c r="C133">
        <v>50211903</v>
      </c>
      <c r="D133">
        <v>45811921</v>
      </c>
      <c r="E133">
        <v>1</v>
      </c>
      <c r="F133">
        <v>1</v>
      </c>
      <c r="G133">
        <v>1</v>
      </c>
      <c r="H133">
        <v>2</v>
      </c>
      <c r="I133" t="s">
        <v>501</v>
      </c>
      <c r="J133" t="s">
        <v>502</v>
      </c>
      <c r="K133" t="s">
        <v>503</v>
      </c>
      <c r="L133">
        <v>45811227</v>
      </c>
      <c r="N133">
        <v>1013</v>
      </c>
      <c r="O133" t="s">
        <v>452</v>
      </c>
      <c r="P133" t="s">
        <v>452</v>
      </c>
      <c r="Q133">
        <v>1</v>
      </c>
      <c r="X133">
        <v>2.2999999999999998</v>
      </c>
      <c r="Y133">
        <v>0</v>
      </c>
      <c r="Z133">
        <v>122.76</v>
      </c>
      <c r="AA133">
        <v>13.26</v>
      </c>
      <c r="AB133">
        <v>0</v>
      </c>
      <c r="AC133">
        <v>0</v>
      </c>
      <c r="AD133">
        <v>1</v>
      </c>
      <c r="AE133">
        <v>0</v>
      </c>
      <c r="AF133" t="s">
        <v>11</v>
      </c>
      <c r="AG133">
        <v>2.875</v>
      </c>
      <c r="AH133">
        <v>2</v>
      </c>
      <c r="AI133">
        <v>50211908</v>
      </c>
      <c r="AJ133">
        <v>136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ROW(Source!A253)</f>
        <v>253</v>
      </c>
      <c r="B134">
        <v>50211918</v>
      </c>
      <c r="C134">
        <v>50211903</v>
      </c>
      <c r="D134">
        <v>45811951</v>
      </c>
      <c r="E134">
        <v>1</v>
      </c>
      <c r="F134">
        <v>1</v>
      </c>
      <c r="G134">
        <v>1</v>
      </c>
      <c r="H134">
        <v>2</v>
      </c>
      <c r="I134" t="s">
        <v>504</v>
      </c>
      <c r="J134" t="s">
        <v>505</v>
      </c>
      <c r="K134" t="s">
        <v>506</v>
      </c>
      <c r="L134">
        <v>45811227</v>
      </c>
      <c r="N134">
        <v>1013</v>
      </c>
      <c r="O134" t="s">
        <v>452</v>
      </c>
      <c r="P134" t="s">
        <v>452</v>
      </c>
      <c r="Q134">
        <v>1</v>
      </c>
      <c r="X134">
        <v>12.21</v>
      </c>
      <c r="Y134">
        <v>0</v>
      </c>
      <c r="Z134">
        <v>205.75</v>
      </c>
      <c r="AA134">
        <v>14.14</v>
      </c>
      <c r="AB134">
        <v>0</v>
      </c>
      <c r="AC134">
        <v>0</v>
      </c>
      <c r="AD134">
        <v>1</v>
      </c>
      <c r="AE134">
        <v>0</v>
      </c>
      <c r="AF134" t="s">
        <v>11</v>
      </c>
      <c r="AG134">
        <v>15.262500000000001</v>
      </c>
      <c r="AH134">
        <v>2</v>
      </c>
      <c r="AI134">
        <v>50211909</v>
      </c>
      <c r="AJ134">
        <v>137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ROW(Source!A253)</f>
        <v>253</v>
      </c>
      <c r="B135">
        <v>50211919</v>
      </c>
      <c r="C135">
        <v>50211903</v>
      </c>
      <c r="D135">
        <v>45812009</v>
      </c>
      <c r="E135">
        <v>1</v>
      </c>
      <c r="F135">
        <v>1</v>
      </c>
      <c r="G135">
        <v>1</v>
      </c>
      <c r="H135">
        <v>2</v>
      </c>
      <c r="I135" t="s">
        <v>479</v>
      </c>
      <c r="J135" t="s">
        <v>480</v>
      </c>
      <c r="K135" t="s">
        <v>481</v>
      </c>
      <c r="L135">
        <v>45811227</v>
      </c>
      <c r="N135">
        <v>1013</v>
      </c>
      <c r="O135" t="s">
        <v>452</v>
      </c>
      <c r="P135" t="s">
        <v>452</v>
      </c>
      <c r="Q135">
        <v>1</v>
      </c>
      <c r="X135">
        <v>1.04</v>
      </c>
      <c r="Y135">
        <v>0</v>
      </c>
      <c r="Z135">
        <v>110</v>
      </c>
      <c r="AA135">
        <v>11.38</v>
      </c>
      <c r="AB135">
        <v>0</v>
      </c>
      <c r="AC135">
        <v>0</v>
      </c>
      <c r="AD135">
        <v>1</v>
      </c>
      <c r="AE135">
        <v>0</v>
      </c>
      <c r="AF135" t="s">
        <v>11</v>
      </c>
      <c r="AG135">
        <v>1.3</v>
      </c>
      <c r="AH135">
        <v>2</v>
      </c>
      <c r="AI135">
        <v>50211910</v>
      </c>
      <c r="AJ135">
        <v>138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ROW(Source!A253)</f>
        <v>253</v>
      </c>
      <c r="B136">
        <v>50211920</v>
      </c>
      <c r="C136">
        <v>50211903</v>
      </c>
      <c r="D136">
        <v>45865150</v>
      </c>
      <c r="E136">
        <v>1</v>
      </c>
      <c r="F136">
        <v>1</v>
      </c>
      <c r="G136">
        <v>1</v>
      </c>
      <c r="H136">
        <v>3</v>
      </c>
      <c r="I136" t="s">
        <v>650</v>
      </c>
      <c r="J136" t="s">
        <v>651</v>
      </c>
      <c r="K136" t="s">
        <v>652</v>
      </c>
      <c r="L136">
        <v>1339</v>
      </c>
      <c r="N136">
        <v>1007</v>
      </c>
      <c r="O136" t="s">
        <v>153</v>
      </c>
      <c r="P136" t="s">
        <v>153</v>
      </c>
      <c r="Q136">
        <v>1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1</v>
      </c>
      <c r="AD136">
        <v>0</v>
      </c>
      <c r="AE136">
        <v>0</v>
      </c>
      <c r="AF136" t="s">
        <v>3</v>
      </c>
      <c r="AG136">
        <v>0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ROW(Source!A253)</f>
        <v>253</v>
      </c>
      <c r="B137">
        <v>50211921</v>
      </c>
      <c r="C137">
        <v>50211903</v>
      </c>
      <c r="D137">
        <v>45865353</v>
      </c>
      <c r="E137">
        <v>1</v>
      </c>
      <c r="F137">
        <v>1</v>
      </c>
      <c r="G137">
        <v>1</v>
      </c>
      <c r="H137">
        <v>3</v>
      </c>
      <c r="I137" t="s">
        <v>488</v>
      </c>
      <c r="J137" t="s">
        <v>489</v>
      </c>
      <c r="K137" t="s">
        <v>490</v>
      </c>
      <c r="L137">
        <v>1339</v>
      </c>
      <c r="N137">
        <v>1007</v>
      </c>
      <c r="O137" t="s">
        <v>153</v>
      </c>
      <c r="P137" t="s">
        <v>153</v>
      </c>
      <c r="Q137">
        <v>1</v>
      </c>
      <c r="X137">
        <v>7</v>
      </c>
      <c r="Y137">
        <v>2.2599999999999998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7</v>
      </c>
      <c r="AH137">
        <v>2</v>
      </c>
      <c r="AI137">
        <v>50211912</v>
      </c>
      <c r="AJ137">
        <v>140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ROW(Source!A255)</f>
        <v>255</v>
      </c>
      <c r="B138">
        <v>50211932</v>
      </c>
      <c r="C138">
        <v>50211923</v>
      </c>
      <c r="D138">
        <v>45976664</v>
      </c>
      <c r="E138">
        <v>1</v>
      </c>
      <c r="F138">
        <v>1</v>
      </c>
      <c r="G138">
        <v>1</v>
      </c>
      <c r="H138">
        <v>1</v>
      </c>
      <c r="I138" t="s">
        <v>496</v>
      </c>
      <c r="J138" t="s">
        <v>3</v>
      </c>
      <c r="K138" t="s">
        <v>497</v>
      </c>
      <c r="L138">
        <v>1476</v>
      </c>
      <c r="N138">
        <v>1013</v>
      </c>
      <c r="O138" t="s">
        <v>447</v>
      </c>
      <c r="P138" t="s">
        <v>448</v>
      </c>
      <c r="Q138">
        <v>1</v>
      </c>
      <c r="X138">
        <v>15.72</v>
      </c>
      <c r="Y138">
        <v>0</v>
      </c>
      <c r="Z138">
        <v>0</v>
      </c>
      <c r="AA138">
        <v>0</v>
      </c>
      <c r="AB138">
        <v>6.52</v>
      </c>
      <c r="AC138">
        <v>0</v>
      </c>
      <c r="AD138">
        <v>1</v>
      </c>
      <c r="AE138">
        <v>1</v>
      </c>
      <c r="AF138" t="s">
        <v>12</v>
      </c>
      <c r="AG138">
        <v>18.077999999999999</v>
      </c>
      <c r="AH138">
        <v>2</v>
      </c>
      <c r="AI138">
        <v>50211924</v>
      </c>
      <c r="AJ138">
        <v>141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ROW(Source!A255)</f>
        <v>255</v>
      </c>
      <c r="B139">
        <v>50211933</v>
      </c>
      <c r="C139">
        <v>50211923</v>
      </c>
      <c r="D139">
        <v>121548</v>
      </c>
      <c r="E139">
        <v>1</v>
      </c>
      <c r="F139">
        <v>1</v>
      </c>
      <c r="G139">
        <v>1</v>
      </c>
      <c r="H139">
        <v>1</v>
      </c>
      <c r="I139" t="s">
        <v>25</v>
      </c>
      <c r="J139" t="s">
        <v>3</v>
      </c>
      <c r="K139" t="s">
        <v>463</v>
      </c>
      <c r="L139">
        <v>608254</v>
      </c>
      <c r="N139">
        <v>1013</v>
      </c>
      <c r="O139" t="s">
        <v>464</v>
      </c>
      <c r="P139" t="s">
        <v>464</v>
      </c>
      <c r="Q139">
        <v>1</v>
      </c>
      <c r="X139">
        <v>13.88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2</v>
      </c>
      <c r="AF139" t="s">
        <v>11</v>
      </c>
      <c r="AG139">
        <v>17.350000000000001</v>
      </c>
      <c r="AH139">
        <v>2</v>
      </c>
      <c r="AI139">
        <v>50211925</v>
      </c>
      <c r="AJ139">
        <v>142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ROW(Source!A255)</f>
        <v>255</v>
      </c>
      <c r="B140">
        <v>50211934</v>
      </c>
      <c r="C140">
        <v>50211923</v>
      </c>
      <c r="D140">
        <v>45811426</v>
      </c>
      <c r="E140">
        <v>1</v>
      </c>
      <c r="F140">
        <v>1</v>
      </c>
      <c r="G140">
        <v>1</v>
      </c>
      <c r="H140">
        <v>2</v>
      </c>
      <c r="I140" t="s">
        <v>498</v>
      </c>
      <c r="J140" t="s">
        <v>499</v>
      </c>
      <c r="K140" t="s">
        <v>500</v>
      </c>
      <c r="L140">
        <v>45811227</v>
      </c>
      <c r="N140">
        <v>1013</v>
      </c>
      <c r="O140" t="s">
        <v>452</v>
      </c>
      <c r="P140" t="s">
        <v>452</v>
      </c>
      <c r="Q140">
        <v>1</v>
      </c>
      <c r="X140">
        <v>4.29</v>
      </c>
      <c r="Y140">
        <v>0</v>
      </c>
      <c r="Z140">
        <v>89.81</v>
      </c>
      <c r="AA140">
        <v>9.8800000000000008</v>
      </c>
      <c r="AB140">
        <v>0</v>
      </c>
      <c r="AC140">
        <v>0</v>
      </c>
      <c r="AD140">
        <v>1</v>
      </c>
      <c r="AE140">
        <v>0</v>
      </c>
      <c r="AF140" t="s">
        <v>11</v>
      </c>
      <c r="AG140">
        <v>5.3624999999999998</v>
      </c>
      <c r="AH140">
        <v>2</v>
      </c>
      <c r="AI140">
        <v>50211926</v>
      </c>
      <c r="AJ140">
        <v>143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ROW(Source!A255)</f>
        <v>255</v>
      </c>
      <c r="B141">
        <v>50211935</v>
      </c>
      <c r="C141">
        <v>50211923</v>
      </c>
      <c r="D141">
        <v>45811921</v>
      </c>
      <c r="E141">
        <v>1</v>
      </c>
      <c r="F141">
        <v>1</v>
      </c>
      <c r="G141">
        <v>1</v>
      </c>
      <c r="H141">
        <v>2</v>
      </c>
      <c r="I141" t="s">
        <v>501</v>
      </c>
      <c r="J141" t="s">
        <v>502</v>
      </c>
      <c r="K141" t="s">
        <v>503</v>
      </c>
      <c r="L141">
        <v>45811227</v>
      </c>
      <c r="N141">
        <v>1013</v>
      </c>
      <c r="O141" t="s">
        <v>452</v>
      </c>
      <c r="P141" t="s">
        <v>452</v>
      </c>
      <c r="Q141">
        <v>1</v>
      </c>
      <c r="X141">
        <v>1.77</v>
      </c>
      <c r="Y141">
        <v>0</v>
      </c>
      <c r="Z141">
        <v>122.76</v>
      </c>
      <c r="AA141">
        <v>13.26</v>
      </c>
      <c r="AB141">
        <v>0</v>
      </c>
      <c r="AC141">
        <v>0</v>
      </c>
      <c r="AD141">
        <v>1</v>
      </c>
      <c r="AE141">
        <v>0</v>
      </c>
      <c r="AF141" t="s">
        <v>11</v>
      </c>
      <c r="AG141">
        <v>2.2124999999999999</v>
      </c>
      <c r="AH141">
        <v>2</v>
      </c>
      <c r="AI141">
        <v>50211927</v>
      </c>
      <c r="AJ141">
        <v>144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ROW(Source!A255)</f>
        <v>255</v>
      </c>
      <c r="B142">
        <v>50211936</v>
      </c>
      <c r="C142">
        <v>50211923</v>
      </c>
      <c r="D142">
        <v>45811951</v>
      </c>
      <c r="E142">
        <v>1</v>
      </c>
      <c r="F142">
        <v>1</v>
      </c>
      <c r="G142">
        <v>1</v>
      </c>
      <c r="H142">
        <v>2</v>
      </c>
      <c r="I142" t="s">
        <v>504</v>
      </c>
      <c r="J142" t="s">
        <v>505</v>
      </c>
      <c r="K142" t="s">
        <v>506</v>
      </c>
      <c r="L142">
        <v>45811227</v>
      </c>
      <c r="N142">
        <v>1013</v>
      </c>
      <c r="O142" t="s">
        <v>452</v>
      </c>
      <c r="P142" t="s">
        <v>452</v>
      </c>
      <c r="Q142">
        <v>1</v>
      </c>
      <c r="X142">
        <v>7.08</v>
      </c>
      <c r="Y142">
        <v>0</v>
      </c>
      <c r="Z142">
        <v>205.75</v>
      </c>
      <c r="AA142">
        <v>14.14</v>
      </c>
      <c r="AB142">
        <v>0</v>
      </c>
      <c r="AC142">
        <v>0</v>
      </c>
      <c r="AD142">
        <v>1</v>
      </c>
      <c r="AE142">
        <v>0</v>
      </c>
      <c r="AF142" t="s">
        <v>11</v>
      </c>
      <c r="AG142">
        <v>8.85</v>
      </c>
      <c r="AH142">
        <v>2</v>
      </c>
      <c r="AI142">
        <v>50211928</v>
      </c>
      <c r="AJ142">
        <v>145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ROW(Source!A255)</f>
        <v>255</v>
      </c>
      <c r="B143">
        <v>50211937</v>
      </c>
      <c r="C143">
        <v>50211923</v>
      </c>
      <c r="D143">
        <v>45812009</v>
      </c>
      <c r="E143">
        <v>1</v>
      </c>
      <c r="F143">
        <v>1</v>
      </c>
      <c r="G143">
        <v>1</v>
      </c>
      <c r="H143">
        <v>2</v>
      </c>
      <c r="I143" t="s">
        <v>479</v>
      </c>
      <c r="J143" t="s">
        <v>480</v>
      </c>
      <c r="K143" t="s">
        <v>481</v>
      </c>
      <c r="L143">
        <v>45811227</v>
      </c>
      <c r="N143">
        <v>1013</v>
      </c>
      <c r="O143" t="s">
        <v>452</v>
      </c>
      <c r="P143" t="s">
        <v>452</v>
      </c>
      <c r="Q143">
        <v>1</v>
      </c>
      <c r="X143">
        <v>0.74</v>
      </c>
      <c r="Y143">
        <v>0</v>
      </c>
      <c r="Z143">
        <v>110</v>
      </c>
      <c r="AA143">
        <v>11.38</v>
      </c>
      <c r="AB143">
        <v>0</v>
      </c>
      <c r="AC143">
        <v>0</v>
      </c>
      <c r="AD143">
        <v>1</v>
      </c>
      <c r="AE143">
        <v>0</v>
      </c>
      <c r="AF143" t="s">
        <v>11</v>
      </c>
      <c r="AG143">
        <v>0.92500000000000004</v>
      </c>
      <c r="AH143">
        <v>2</v>
      </c>
      <c r="AI143">
        <v>50211929</v>
      </c>
      <c r="AJ143">
        <v>146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ROW(Source!A255)</f>
        <v>255</v>
      </c>
      <c r="B144">
        <v>50211938</v>
      </c>
      <c r="C144">
        <v>50211923</v>
      </c>
      <c r="D144">
        <v>45865147</v>
      </c>
      <c r="E144">
        <v>1</v>
      </c>
      <c r="F144">
        <v>1</v>
      </c>
      <c r="G144">
        <v>1</v>
      </c>
      <c r="H144">
        <v>3</v>
      </c>
      <c r="I144" t="s">
        <v>647</v>
      </c>
      <c r="J144" t="s">
        <v>648</v>
      </c>
      <c r="K144" t="s">
        <v>649</v>
      </c>
      <c r="L144">
        <v>1339</v>
      </c>
      <c r="N144">
        <v>1007</v>
      </c>
      <c r="O144" t="s">
        <v>153</v>
      </c>
      <c r="P144" t="s">
        <v>153</v>
      </c>
      <c r="Q144">
        <v>1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1</v>
      </c>
      <c r="AD144">
        <v>0</v>
      </c>
      <c r="AE144">
        <v>0</v>
      </c>
      <c r="AF144" t="s">
        <v>3</v>
      </c>
      <c r="AG144">
        <v>0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ROW(Source!A255)</f>
        <v>255</v>
      </c>
      <c r="B145">
        <v>50211939</v>
      </c>
      <c r="C145">
        <v>50211923</v>
      </c>
      <c r="D145">
        <v>45865353</v>
      </c>
      <c r="E145">
        <v>1</v>
      </c>
      <c r="F145">
        <v>1</v>
      </c>
      <c r="G145">
        <v>1</v>
      </c>
      <c r="H145">
        <v>3</v>
      </c>
      <c r="I145" t="s">
        <v>488</v>
      </c>
      <c r="J145" t="s">
        <v>489</v>
      </c>
      <c r="K145" t="s">
        <v>490</v>
      </c>
      <c r="L145">
        <v>1339</v>
      </c>
      <c r="N145">
        <v>1007</v>
      </c>
      <c r="O145" t="s">
        <v>153</v>
      </c>
      <c r="P145" t="s">
        <v>153</v>
      </c>
      <c r="Q145">
        <v>1</v>
      </c>
      <c r="X145">
        <v>5</v>
      </c>
      <c r="Y145">
        <v>2.2599999999999998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5</v>
      </c>
      <c r="AH145">
        <v>2</v>
      </c>
      <c r="AI145">
        <v>50211931</v>
      </c>
      <c r="AJ145">
        <v>148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ROW(Source!A257)</f>
        <v>257</v>
      </c>
      <c r="B146">
        <v>50211949</v>
      </c>
      <c r="C146">
        <v>50211941</v>
      </c>
      <c r="D146">
        <v>45978298</v>
      </c>
      <c r="E146">
        <v>1</v>
      </c>
      <c r="F146">
        <v>1</v>
      </c>
      <c r="G146">
        <v>1</v>
      </c>
      <c r="H146">
        <v>1</v>
      </c>
      <c r="I146" t="s">
        <v>560</v>
      </c>
      <c r="J146" t="s">
        <v>3</v>
      </c>
      <c r="K146" t="s">
        <v>561</v>
      </c>
      <c r="L146">
        <v>1476</v>
      </c>
      <c r="N146">
        <v>1013</v>
      </c>
      <c r="O146" t="s">
        <v>447</v>
      </c>
      <c r="P146" t="s">
        <v>448</v>
      </c>
      <c r="Q146">
        <v>1</v>
      </c>
      <c r="X146">
        <v>30.75</v>
      </c>
      <c r="Y146">
        <v>0</v>
      </c>
      <c r="Z146">
        <v>0</v>
      </c>
      <c r="AA146">
        <v>0</v>
      </c>
      <c r="AB146">
        <v>6.46</v>
      </c>
      <c r="AC146">
        <v>0</v>
      </c>
      <c r="AD146">
        <v>1</v>
      </c>
      <c r="AE146">
        <v>1</v>
      </c>
      <c r="AF146" t="s">
        <v>12</v>
      </c>
      <c r="AG146">
        <v>35.362499999999997</v>
      </c>
      <c r="AH146">
        <v>2</v>
      </c>
      <c r="AI146">
        <v>50211942</v>
      </c>
      <c r="AJ146">
        <v>149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ROW(Source!A257)</f>
        <v>257</v>
      </c>
      <c r="B147">
        <v>50211950</v>
      </c>
      <c r="C147">
        <v>50211941</v>
      </c>
      <c r="D147">
        <v>121548</v>
      </c>
      <c r="E147">
        <v>1</v>
      </c>
      <c r="F147">
        <v>1</v>
      </c>
      <c r="G147">
        <v>1</v>
      </c>
      <c r="H147">
        <v>1</v>
      </c>
      <c r="I147" t="s">
        <v>25</v>
      </c>
      <c r="J147" t="s">
        <v>3</v>
      </c>
      <c r="K147" t="s">
        <v>463</v>
      </c>
      <c r="L147">
        <v>608254</v>
      </c>
      <c r="N147">
        <v>1013</v>
      </c>
      <c r="O147" t="s">
        <v>464</v>
      </c>
      <c r="P147" t="s">
        <v>464</v>
      </c>
      <c r="Q147">
        <v>1</v>
      </c>
      <c r="X147">
        <v>4.41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2</v>
      </c>
      <c r="AF147" t="s">
        <v>11</v>
      </c>
      <c r="AG147">
        <v>5.5125000000000002</v>
      </c>
      <c r="AH147">
        <v>2</v>
      </c>
      <c r="AI147">
        <v>50211943</v>
      </c>
      <c r="AJ147">
        <v>150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ROW(Source!A257)</f>
        <v>257</v>
      </c>
      <c r="B148">
        <v>50211951</v>
      </c>
      <c r="C148">
        <v>50211941</v>
      </c>
      <c r="D148">
        <v>45811709</v>
      </c>
      <c r="E148">
        <v>1</v>
      </c>
      <c r="F148">
        <v>1</v>
      </c>
      <c r="G148">
        <v>1</v>
      </c>
      <c r="H148">
        <v>2</v>
      </c>
      <c r="I148" t="s">
        <v>468</v>
      </c>
      <c r="J148" t="s">
        <v>469</v>
      </c>
      <c r="K148" t="s">
        <v>470</v>
      </c>
      <c r="L148">
        <v>45811227</v>
      </c>
      <c r="N148">
        <v>1013</v>
      </c>
      <c r="O148" t="s">
        <v>452</v>
      </c>
      <c r="P148" t="s">
        <v>452</v>
      </c>
      <c r="Q148">
        <v>1</v>
      </c>
      <c r="X148">
        <v>2.77</v>
      </c>
      <c r="Y148">
        <v>0</v>
      </c>
      <c r="Z148">
        <v>79.75</v>
      </c>
      <c r="AA148">
        <v>13.26</v>
      </c>
      <c r="AB148">
        <v>0</v>
      </c>
      <c r="AC148">
        <v>0</v>
      </c>
      <c r="AD148">
        <v>1</v>
      </c>
      <c r="AE148">
        <v>0</v>
      </c>
      <c r="AF148" t="s">
        <v>11</v>
      </c>
      <c r="AG148">
        <v>3.4624999999999999</v>
      </c>
      <c r="AH148">
        <v>2</v>
      </c>
      <c r="AI148">
        <v>50211944</v>
      </c>
      <c r="AJ148">
        <v>151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ROW(Source!A257)</f>
        <v>257</v>
      </c>
      <c r="B149">
        <v>50211952</v>
      </c>
      <c r="C149">
        <v>50211941</v>
      </c>
      <c r="D149">
        <v>45811950</v>
      </c>
      <c r="E149">
        <v>1</v>
      </c>
      <c r="F149">
        <v>1</v>
      </c>
      <c r="G149">
        <v>1</v>
      </c>
      <c r="H149">
        <v>2</v>
      </c>
      <c r="I149" t="s">
        <v>562</v>
      </c>
      <c r="J149" t="s">
        <v>563</v>
      </c>
      <c r="K149" t="s">
        <v>564</v>
      </c>
      <c r="L149">
        <v>45811227</v>
      </c>
      <c r="N149">
        <v>1013</v>
      </c>
      <c r="O149" t="s">
        <v>452</v>
      </c>
      <c r="P149" t="s">
        <v>452</v>
      </c>
      <c r="Q149">
        <v>1</v>
      </c>
      <c r="X149">
        <v>1.64</v>
      </c>
      <c r="Y149">
        <v>0</v>
      </c>
      <c r="Z149">
        <v>156.06</v>
      </c>
      <c r="AA149">
        <v>14.14</v>
      </c>
      <c r="AB149">
        <v>0</v>
      </c>
      <c r="AC149">
        <v>0</v>
      </c>
      <c r="AD149">
        <v>1</v>
      </c>
      <c r="AE149">
        <v>0</v>
      </c>
      <c r="AF149" t="s">
        <v>11</v>
      </c>
      <c r="AG149">
        <v>2.0499999999999998</v>
      </c>
      <c r="AH149">
        <v>2</v>
      </c>
      <c r="AI149">
        <v>50211945</v>
      </c>
      <c r="AJ149">
        <v>152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ROW(Source!A257)</f>
        <v>257</v>
      </c>
      <c r="B150">
        <v>50211953</v>
      </c>
      <c r="C150">
        <v>50211941</v>
      </c>
      <c r="D150">
        <v>45813321</v>
      </c>
      <c r="E150">
        <v>1</v>
      </c>
      <c r="F150">
        <v>1</v>
      </c>
      <c r="G150">
        <v>1</v>
      </c>
      <c r="H150">
        <v>2</v>
      </c>
      <c r="I150" t="s">
        <v>532</v>
      </c>
      <c r="J150" t="s">
        <v>533</v>
      </c>
      <c r="K150" t="s">
        <v>534</v>
      </c>
      <c r="L150">
        <v>45811227</v>
      </c>
      <c r="N150">
        <v>1013</v>
      </c>
      <c r="O150" t="s">
        <v>452</v>
      </c>
      <c r="P150" t="s">
        <v>452</v>
      </c>
      <c r="Q150">
        <v>1</v>
      </c>
      <c r="X150">
        <v>0.3</v>
      </c>
      <c r="Y150">
        <v>0</v>
      </c>
      <c r="Z150">
        <v>86.55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11</v>
      </c>
      <c r="AG150">
        <v>0.375</v>
      </c>
      <c r="AH150">
        <v>2</v>
      </c>
      <c r="AI150">
        <v>50211946</v>
      </c>
      <c r="AJ150">
        <v>153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ROW(Source!A257)</f>
        <v>257</v>
      </c>
      <c r="B151">
        <v>50211954</v>
      </c>
      <c r="C151">
        <v>50211941</v>
      </c>
      <c r="D151">
        <v>45815194</v>
      </c>
      <c r="E151">
        <v>1</v>
      </c>
      <c r="F151">
        <v>1</v>
      </c>
      <c r="G151">
        <v>1</v>
      </c>
      <c r="H151">
        <v>3</v>
      </c>
      <c r="I151" t="s">
        <v>538</v>
      </c>
      <c r="J151" t="s">
        <v>539</v>
      </c>
      <c r="K151" t="s">
        <v>540</v>
      </c>
      <c r="L151">
        <v>1348</v>
      </c>
      <c r="N151">
        <v>1009</v>
      </c>
      <c r="O151" t="s">
        <v>190</v>
      </c>
      <c r="P151" t="s">
        <v>190</v>
      </c>
      <c r="Q151">
        <v>1000</v>
      </c>
      <c r="X151">
        <v>1.2999999999999999E-4</v>
      </c>
      <c r="Y151">
        <v>5469.5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1.2999999999999999E-4</v>
      </c>
      <c r="AH151">
        <v>2</v>
      </c>
      <c r="AI151">
        <v>50211947</v>
      </c>
      <c r="AJ151">
        <v>154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ROW(Source!A257)</f>
        <v>257</v>
      </c>
      <c r="B152">
        <v>50211955</v>
      </c>
      <c r="C152">
        <v>50211941</v>
      </c>
      <c r="D152">
        <v>45815209</v>
      </c>
      <c r="E152">
        <v>1</v>
      </c>
      <c r="F152">
        <v>1</v>
      </c>
      <c r="G152">
        <v>1</v>
      </c>
      <c r="H152">
        <v>3</v>
      </c>
      <c r="I152" t="s">
        <v>656</v>
      </c>
      <c r="J152" t="s">
        <v>657</v>
      </c>
      <c r="K152" t="s">
        <v>658</v>
      </c>
      <c r="L152">
        <v>1330</v>
      </c>
      <c r="N152">
        <v>1005</v>
      </c>
      <c r="O152" t="s">
        <v>659</v>
      </c>
      <c r="P152" t="s">
        <v>659</v>
      </c>
      <c r="Q152">
        <v>10</v>
      </c>
      <c r="X152">
        <v>0</v>
      </c>
      <c r="Y152">
        <v>136.99</v>
      </c>
      <c r="Z152">
        <v>0</v>
      </c>
      <c r="AA152">
        <v>0</v>
      </c>
      <c r="AB152">
        <v>0</v>
      </c>
      <c r="AC152">
        <v>1</v>
      </c>
      <c r="AD152">
        <v>0</v>
      </c>
      <c r="AE152">
        <v>0</v>
      </c>
      <c r="AF152" t="s">
        <v>3</v>
      </c>
      <c r="AG152">
        <v>0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ROW(Source!A259)</f>
        <v>259</v>
      </c>
      <c r="B153">
        <v>50211968</v>
      </c>
      <c r="C153">
        <v>50211957</v>
      </c>
      <c r="D153">
        <v>45976891</v>
      </c>
      <c r="E153">
        <v>1</v>
      </c>
      <c r="F153">
        <v>1</v>
      </c>
      <c r="G153">
        <v>1</v>
      </c>
      <c r="H153">
        <v>1</v>
      </c>
      <c r="I153" t="s">
        <v>565</v>
      </c>
      <c r="J153" t="s">
        <v>3</v>
      </c>
      <c r="K153" t="s">
        <v>566</v>
      </c>
      <c r="L153">
        <v>1476</v>
      </c>
      <c r="N153">
        <v>1013</v>
      </c>
      <c r="O153" t="s">
        <v>447</v>
      </c>
      <c r="P153" t="s">
        <v>448</v>
      </c>
      <c r="Q153">
        <v>1</v>
      </c>
      <c r="X153">
        <v>42.4</v>
      </c>
      <c r="Y153">
        <v>0</v>
      </c>
      <c r="Z153">
        <v>0</v>
      </c>
      <c r="AA153">
        <v>0</v>
      </c>
      <c r="AB153">
        <v>6.65</v>
      </c>
      <c r="AC153">
        <v>0</v>
      </c>
      <c r="AD153">
        <v>1</v>
      </c>
      <c r="AE153">
        <v>1</v>
      </c>
      <c r="AF153" t="s">
        <v>12</v>
      </c>
      <c r="AG153">
        <v>48.76</v>
      </c>
      <c r="AH153">
        <v>2</v>
      </c>
      <c r="AI153">
        <v>50211958</v>
      </c>
      <c r="AJ153">
        <v>156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ROW(Source!A259)</f>
        <v>259</v>
      </c>
      <c r="B154">
        <v>50211969</v>
      </c>
      <c r="C154">
        <v>50211957</v>
      </c>
      <c r="D154">
        <v>121548</v>
      </c>
      <c r="E154">
        <v>1</v>
      </c>
      <c r="F154">
        <v>1</v>
      </c>
      <c r="G154">
        <v>1</v>
      </c>
      <c r="H154">
        <v>1</v>
      </c>
      <c r="I154" t="s">
        <v>25</v>
      </c>
      <c r="J154" t="s">
        <v>3</v>
      </c>
      <c r="K154" t="s">
        <v>463</v>
      </c>
      <c r="L154">
        <v>608254</v>
      </c>
      <c r="N154">
        <v>1013</v>
      </c>
      <c r="O154" t="s">
        <v>464</v>
      </c>
      <c r="P154" t="s">
        <v>464</v>
      </c>
      <c r="Q154">
        <v>1</v>
      </c>
      <c r="X154">
        <v>0.42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2</v>
      </c>
      <c r="AF154" t="s">
        <v>11</v>
      </c>
      <c r="AG154">
        <v>0.52500000000000002</v>
      </c>
      <c r="AH154">
        <v>2</v>
      </c>
      <c r="AI154">
        <v>50211959</v>
      </c>
      <c r="AJ154">
        <v>157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ROW(Source!A259)</f>
        <v>259</v>
      </c>
      <c r="B155">
        <v>50211970</v>
      </c>
      <c r="C155">
        <v>50211957</v>
      </c>
      <c r="D155">
        <v>45811353</v>
      </c>
      <c r="E155">
        <v>1</v>
      </c>
      <c r="F155">
        <v>1</v>
      </c>
      <c r="G155">
        <v>1</v>
      </c>
      <c r="H155">
        <v>2</v>
      </c>
      <c r="I155" t="s">
        <v>517</v>
      </c>
      <c r="J155" t="s">
        <v>518</v>
      </c>
      <c r="K155" t="s">
        <v>519</v>
      </c>
      <c r="L155">
        <v>45811227</v>
      </c>
      <c r="N155">
        <v>1013</v>
      </c>
      <c r="O155" t="s">
        <v>452</v>
      </c>
      <c r="P155" t="s">
        <v>452</v>
      </c>
      <c r="Q155">
        <v>1</v>
      </c>
      <c r="X155">
        <v>0.41</v>
      </c>
      <c r="Y155">
        <v>0</v>
      </c>
      <c r="Z155">
        <v>111.75</v>
      </c>
      <c r="AA155">
        <v>13.26</v>
      </c>
      <c r="AB155">
        <v>0</v>
      </c>
      <c r="AC155">
        <v>0</v>
      </c>
      <c r="AD155">
        <v>1</v>
      </c>
      <c r="AE155">
        <v>0</v>
      </c>
      <c r="AF155" t="s">
        <v>11</v>
      </c>
      <c r="AG155">
        <v>0.51249999999999996</v>
      </c>
      <c r="AH155">
        <v>2</v>
      </c>
      <c r="AI155">
        <v>50211960</v>
      </c>
      <c r="AJ155">
        <v>158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ROW(Source!A259)</f>
        <v>259</v>
      </c>
      <c r="B156">
        <v>50211971</v>
      </c>
      <c r="C156">
        <v>50211957</v>
      </c>
      <c r="D156">
        <v>45811426</v>
      </c>
      <c r="E156">
        <v>1</v>
      </c>
      <c r="F156">
        <v>1</v>
      </c>
      <c r="G156">
        <v>1</v>
      </c>
      <c r="H156">
        <v>2</v>
      </c>
      <c r="I156" t="s">
        <v>498</v>
      </c>
      <c r="J156" t="s">
        <v>499</v>
      </c>
      <c r="K156" t="s">
        <v>500</v>
      </c>
      <c r="L156">
        <v>45811227</v>
      </c>
      <c r="N156">
        <v>1013</v>
      </c>
      <c r="O156" t="s">
        <v>452</v>
      </c>
      <c r="P156" t="s">
        <v>452</v>
      </c>
      <c r="Q156">
        <v>1</v>
      </c>
      <c r="X156">
        <v>0.01</v>
      </c>
      <c r="Y156">
        <v>0</v>
      </c>
      <c r="Z156">
        <v>89.81</v>
      </c>
      <c r="AA156">
        <v>9.8800000000000008</v>
      </c>
      <c r="AB156">
        <v>0</v>
      </c>
      <c r="AC156">
        <v>0</v>
      </c>
      <c r="AD156">
        <v>1</v>
      </c>
      <c r="AE156">
        <v>0</v>
      </c>
      <c r="AF156" t="s">
        <v>11</v>
      </c>
      <c r="AG156">
        <v>1.2500000000000001E-2</v>
      </c>
      <c r="AH156">
        <v>2</v>
      </c>
      <c r="AI156">
        <v>50211961</v>
      </c>
      <c r="AJ156">
        <v>159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ROW(Source!A259)</f>
        <v>259</v>
      </c>
      <c r="B157">
        <v>50211972</v>
      </c>
      <c r="C157">
        <v>50211957</v>
      </c>
      <c r="D157">
        <v>45812070</v>
      </c>
      <c r="E157">
        <v>1</v>
      </c>
      <c r="F157">
        <v>1</v>
      </c>
      <c r="G157">
        <v>1</v>
      </c>
      <c r="H157">
        <v>2</v>
      </c>
      <c r="I157" t="s">
        <v>567</v>
      </c>
      <c r="J157" t="s">
        <v>568</v>
      </c>
      <c r="K157" t="s">
        <v>569</v>
      </c>
      <c r="L157">
        <v>45811227</v>
      </c>
      <c r="N157">
        <v>1013</v>
      </c>
      <c r="O157" t="s">
        <v>452</v>
      </c>
      <c r="P157" t="s">
        <v>452</v>
      </c>
      <c r="Q157">
        <v>1</v>
      </c>
      <c r="X157">
        <v>5.13</v>
      </c>
      <c r="Y157">
        <v>0</v>
      </c>
      <c r="Z157">
        <v>60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11</v>
      </c>
      <c r="AG157">
        <v>6.4124999999999996</v>
      </c>
      <c r="AH157">
        <v>2</v>
      </c>
      <c r="AI157">
        <v>50211962</v>
      </c>
      <c r="AJ157">
        <v>160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ROW(Source!A259)</f>
        <v>259</v>
      </c>
      <c r="B158">
        <v>50211973</v>
      </c>
      <c r="C158">
        <v>50211957</v>
      </c>
      <c r="D158">
        <v>45813321</v>
      </c>
      <c r="E158">
        <v>1</v>
      </c>
      <c r="F158">
        <v>1</v>
      </c>
      <c r="G158">
        <v>1</v>
      </c>
      <c r="H158">
        <v>2</v>
      </c>
      <c r="I158" t="s">
        <v>532</v>
      </c>
      <c r="J158" t="s">
        <v>533</v>
      </c>
      <c r="K158" t="s">
        <v>534</v>
      </c>
      <c r="L158">
        <v>45811227</v>
      </c>
      <c r="N158">
        <v>1013</v>
      </c>
      <c r="O158" t="s">
        <v>452</v>
      </c>
      <c r="P158" t="s">
        <v>452</v>
      </c>
      <c r="Q158">
        <v>1</v>
      </c>
      <c r="X158">
        <v>0.56000000000000005</v>
      </c>
      <c r="Y158">
        <v>0</v>
      </c>
      <c r="Z158">
        <v>86.55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11</v>
      </c>
      <c r="AG158">
        <v>0.70000000000000007</v>
      </c>
      <c r="AH158">
        <v>2</v>
      </c>
      <c r="AI158">
        <v>50211963</v>
      </c>
      <c r="AJ158">
        <v>161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ROW(Source!A259)</f>
        <v>259</v>
      </c>
      <c r="B159">
        <v>50211974</v>
      </c>
      <c r="C159">
        <v>50211957</v>
      </c>
      <c r="D159">
        <v>45854377</v>
      </c>
      <c r="E159">
        <v>1</v>
      </c>
      <c r="F159">
        <v>1</v>
      </c>
      <c r="G159">
        <v>1</v>
      </c>
      <c r="H159">
        <v>3</v>
      </c>
      <c r="I159" t="s">
        <v>274</v>
      </c>
      <c r="J159" t="s">
        <v>276</v>
      </c>
      <c r="K159" t="s">
        <v>275</v>
      </c>
      <c r="L159">
        <v>1327</v>
      </c>
      <c r="N159">
        <v>1005</v>
      </c>
      <c r="O159" t="s">
        <v>266</v>
      </c>
      <c r="P159" t="s">
        <v>266</v>
      </c>
      <c r="Q159">
        <v>1</v>
      </c>
      <c r="X159">
        <v>100</v>
      </c>
      <c r="Y159">
        <v>65.349999999999994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100</v>
      </c>
      <c r="AH159">
        <v>2</v>
      </c>
      <c r="AI159">
        <v>50211964</v>
      </c>
      <c r="AJ159">
        <v>162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ROW(Source!A259)</f>
        <v>259</v>
      </c>
      <c r="B160">
        <v>50211975</v>
      </c>
      <c r="C160">
        <v>50211957</v>
      </c>
      <c r="D160">
        <v>45864785</v>
      </c>
      <c r="E160">
        <v>1</v>
      </c>
      <c r="F160">
        <v>1</v>
      </c>
      <c r="G160">
        <v>1</v>
      </c>
      <c r="H160">
        <v>3</v>
      </c>
      <c r="I160" t="s">
        <v>570</v>
      </c>
      <c r="J160" t="s">
        <v>571</v>
      </c>
      <c r="K160" t="s">
        <v>572</v>
      </c>
      <c r="L160">
        <v>1339</v>
      </c>
      <c r="N160">
        <v>1007</v>
      </c>
      <c r="O160" t="s">
        <v>153</v>
      </c>
      <c r="P160" t="s">
        <v>153</v>
      </c>
      <c r="Q160">
        <v>1</v>
      </c>
      <c r="X160">
        <v>5</v>
      </c>
      <c r="Y160">
        <v>259.83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5</v>
      </c>
      <c r="AH160">
        <v>2</v>
      </c>
      <c r="AI160">
        <v>50211965</v>
      </c>
      <c r="AJ160">
        <v>164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ROW(Source!A259)</f>
        <v>259</v>
      </c>
      <c r="B161">
        <v>50211976</v>
      </c>
      <c r="C161">
        <v>50211957</v>
      </c>
      <c r="D161">
        <v>45864906</v>
      </c>
      <c r="E161">
        <v>1</v>
      </c>
      <c r="F161">
        <v>1</v>
      </c>
      <c r="G161">
        <v>1</v>
      </c>
      <c r="H161">
        <v>3</v>
      </c>
      <c r="I161" t="s">
        <v>151</v>
      </c>
      <c r="J161" t="s">
        <v>154</v>
      </c>
      <c r="K161" t="s">
        <v>152</v>
      </c>
      <c r="L161">
        <v>1339</v>
      </c>
      <c r="N161">
        <v>1007</v>
      </c>
      <c r="O161" t="s">
        <v>153</v>
      </c>
      <c r="P161" t="s">
        <v>153</v>
      </c>
      <c r="Q161">
        <v>1</v>
      </c>
      <c r="X161">
        <v>0.05</v>
      </c>
      <c r="Y161">
        <v>51.17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0.05</v>
      </c>
      <c r="AH161">
        <v>2</v>
      </c>
      <c r="AI161">
        <v>50211966</v>
      </c>
      <c r="AJ161">
        <v>165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ROW(Source!A297)</f>
        <v>297</v>
      </c>
      <c r="B162">
        <v>50211981</v>
      </c>
      <c r="C162">
        <v>50211979</v>
      </c>
      <c r="D162">
        <v>45975178</v>
      </c>
      <c r="E162">
        <v>1</v>
      </c>
      <c r="F162">
        <v>1</v>
      </c>
      <c r="G162">
        <v>1</v>
      </c>
      <c r="H162">
        <v>1</v>
      </c>
      <c r="I162" t="s">
        <v>453</v>
      </c>
      <c r="J162" t="s">
        <v>3</v>
      </c>
      <c r="K162" t="s">
        <v>454</v>
      </c>
      <c r="L162">
        <v>1476</v>
      </c>
      <c r="N162">
        <v>1013</v>
      </c>
      <c r="O162" t="s">
        <v>447</v>
      </c>
      <c r="P162" t="s">
        <v>448</v>
      </c>
      <c r="Q162">
        <v>1</v>
      </c>
      <c r="X162">
        <v>280</v>
      </c>
      <c r="Y162">
        <v>0</v>
      </c>
      <c r="Z162">
        <v>0</v>
      </c>
      <c r="AA162">
        <v>0</v>
      </c>
      <c r="AB162">
        <v>6.35</v>
      </c>
      <c r="AC162">
        <v>0</v>
      </c>
      <c r="AD162">
        <v>1</v>
      </c>
      <c r="AE162">
        <v>1</v>
      </c>
      <c r="AF162" t="s">
        <v>12</v>
      </c>
      <c r="AG162">
        <v>322</v>
      </c>
      <c r="AH162">
        <v>2</v>
      </c>
      <c r="AI162">
        <v>50211980</v>
      </c>
      <c r="AJ162">
        <v>166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ROW(Source!A299)</f>
        <v>299</v>
      </c>
      <c r="B163">
        <v>50211992</v>
      </c>
      <c r="C163">
        <v>50211983</v>
      </c>
      <c r="D163">
        <v>45975178</v>
      </c>
      <c r="E163">
        <v>1</v>
      </c>
      <c r="F163">
        <v>1</v>
      </c>
      <c r="G163">
        <v>1</v>
      </c>
      <c r="H163">
        <v>1</v>
      </c>
      <c r="I163" t="s">
        <v>453</v>
      </c>
      <c r="J163" t="s">
        <v>3</v>
      </c>
      <c r="K163" t="s">
        <v>454</v>
      </c>
      <c r="L163">
        <v>1476</v>
      </c>
      <c r="N163">
        <v>1013</v>
      </c>
      <c r="O163" t="s">
        <v>447</v>
      </c>
      <c r="P163" t="s">
        <v>448</v>
      </c>
      <c r="Q163">
        <v>1</v>
      </c>
      <c r="X163">
        <v>180</v>
      </c>
      <c r="Y163">
        <v>0</v>
      </c>
      <c r="Z163">
        <v>0</v>
      </c>
      <c r="AA163">
        <v>0</v>
      </c>
      <c r="AB163">
        <v>6.35</v>
      </c>
      <c r="AC163">
        <v>0</v>
      </c>
      <c r="AD163">
        <v>1</v>
      </c>
      <c r="AE163">
        <v>1</v>
      </c>
      <c r="AF163" t="s">
        <v>12</v>
      </c>
      <c r="AG163">
        <v>206.99999999999997</v>
      </c>
      <c r="AH163">
        <v>2</v>
      </c>
      <c r="AI163">
        <v>50211984</v>
      </c>
      <c r="AJ163">
        <v>167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ROW(Source!A299)</f>
        <v>299</v>
      </c>
      <c r="B164">
        <v>50211993</v>
      </c>
      <c r="C164">
        <v>50211983</v>
      </c>
      <c r="D164">
        <v>121548</v>
      </c>
      <c r="E164">
        <v>1</v>
      </c>
      <c r="F164">
        <v>1</v>
      </c>
      <c r="G164">
        <v>1</v>
      </c>
      <c r="H164">
        <v>1</v>
      </c>
      <c r="I164" t="s">
        <v>25</v>
      </c>
      <c r="J164" t="s">
        <v>3</v>
      </c>
      <c r="K164" t="s">
        <v>463</v>
      </c>
      <c r="L164">
        <v>608254</v>
      </c>
      <c r="N164">
        <v>1013</v>
      </c>
      <c r="O164" t="s">
        <v>464</v>
      </c>
      <c r="P164" t="s">
        <v>464</v>
      </c>
      <c r="Q164">
        <v>1</v>
      </c>
      <c r="X164">
        <v>18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2</v>
      </c>
      <c r="AF164" t="s">
        <v>11</v>
      </c>
      <c r="AG164">
        <v>22.5</v>
      </c>
      <c r="AH164">
        <v>2</v>
      </c>
      <c r="AI164">
        <v>50211985</v>
      </c>
      <c r="AJ164">
        <v>168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ROW(Source!A299)</f>
        <v>299</v>
      </c>
      <c r="B165">
        <v>50211994</v>
      </c>
      <c r="C165">
        <v>50211983</v>
      </c>
      <c r="D165">
        <v>45811272</v>
      </c>
      <c r="E165">
        <v>1</v>
      </c>
      <c r="F165">
        <v>1</v>
      </c>
      <c r="G165">
        <v>1</v>
      </c>
      <c r="H165">
        <v>2</v>
      </c>
      <c r="I165" t="s">
        <v>573</v>
      </c>
      <c r="J165" t="s">
        <v>574</v>
      </c>
      <c r="K165" t="s">
        <v>575</v>
      </c>
      <c r="L165">
        <v>45811227</v>
      </c>
      <c r="N165">
        <v>1013</v>
      </c>
      <c r="O165" t="s">
        <v>452</v>
      </c>
      <c r="P165" t="s">
        <v>452</v>
      </c>
      <c r="Q165">
        <v>1</v>
      </c>
      <c r="X165">
        <v>18</v>
      </c>
      <c r="Y165">
        <v>0</v>
      </c>
      <c r="Z165">
        <v>86.16</v>
      </c>
      <c r="AA165">
        <v>13.26</v>
      </c>
      <c r="AB165">
        <v>0</v>
      </c>
      <c r="AC165">
        <v>0</v>
      </c>
      <c r="AD165">
        <v>1</v>
      </c>
      <c r="AE165">
        <v>0</v>
      </c>
      <c r="AF165" t="s">
        <v>11</v>
      </c>
      <c r="AG165">
        <v>22.5</v>
      </c>
      <c r="AH165">
        <v>2</v>
      </c>
      <c r="AI165">
        <v>50211986</v>
      </c>
      <c r="AJ165">
        <v>169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ROW(Source!A299)</f>
        <v>299</v>
      </c>
      <c r="B166">
        <v>50211995</v>
      </c>
      <c r="C166">
        <v>50211983</v>
      </c>
      <c r="D166">
        <v>45811901</v>
      </c>
      <c r="E166">
        <v>1</v>
      </c>
      <c r="F166">
        <v>1</v>
      </c>
      <c r="G166">
        <v>1</v>
      </c>
      <c r="H166">
        <v>2</v>
      </c>
      <c r="I166" t="s">
        <v>576</v>
      </c>
      <c r="J166" t="s">
        <v>577</v>
      </c>
      <c r="K166" t="s">
        <v>578</v>
      </c>
      <c r="L166">
        <v>45811227</v>
      </c>
      <c r="N166">
        <v>1013</v>
      </c>
      <c r="O166" t="s">
        <v>452</v>
      </c>
      <c r="P166" t="s">
        <v>452</v>
      </c>
      <c r="Q166">
        <v>1</v>
      </c>
      <c r="X166">
        <v>48</v>
      </c>
      <c r="Y166">
        <v>0</v>
      </c>
      <c r="Z166">
        <v>0.5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11</v>
      </c>
      <c r="AG166">
        <v>60</v>
      </c>
      <c r="AH166">
        <v>2</v>
      </c>
      <c r="AI166">
        <v>50211987</v>
      </c>
      <c r="AJ166">
        <v>170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ROW(Source!A299)</f>
        <v>299</v>
      </c>
      <c r="B167">
        <v>50211996</v>
      </c>
      <c r="C167">
        <v>50211983</v>
      </c>
      <c r="D167">
        <v>45813321</v>
      </c>
      <c r="E167">
        <v>1</v>
      </c>
      <c r="F167">
        <v>1</v>
      </c>
      <c r="G167">
        <v>1</v>
      </c>
      <c r="H167">
        <v>2</v>
      </c>
      <c r="I167" t="s">
        <v>532</v>
      </c>
      <c r="J167" t="s">
        <v>533</v>
      </c>
      <c r="K167" t="s">
        <v>534</v>
      </c>
      <c r="L167">
        <v>45811227</v>
      </c>
      <c r="N167">
        <v>1013</v>
      </c>
      <c r="O167" t="s">
        <v>452</v>
      </c>
      <c r="P167" t="s">
        <v>452</v>
      </c>
      <c r="Q167">
        <v>1</v>
      </c>
      <c r="X167">
        <v>0.13</v>
      </c>
      <c r="Y167">
        <v>0</v>
      </c>
      <c r="Z167">
        <v>86.55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11</v>
      </c>
      <c r="AG167">
        <v>0.16250000000000001</v>
      </c>
      <c r="AH167">
        <v>2</v>
      </c>
      <c r="AI167">
        <v>50211988</v>
      </c>
      <c r="AJ167">
        <v>171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ROW(Source!A299)</f>
        <v>299</v>
      </c>
      <c r="B168">
        <v>50211997</v>
      </c>
      <c r="C168">
        <v>50211983</v>
      </c>
      <c r="D168">
        <v>45816198</v>
      </c>
      <c r="E168">
        <v>1</v>
      </c>
      <c r="F168">
        <v>1</v>
      </c>
      <c r="G168">
        <v>1</v>
      </c>
      <c r="H168">
        <v>3</v>
      </c>
      <c r="I168" t="s">
        <v>579</v>
      </c>
      <c r="J168" t="s">
        <v>580</v>
      </c>
      <c r="K168" t="s">
        <v>581</v>
      </c>
      <c r="L168">
        <v>1327</v>
      </c>
      <c r="N168">
        <v>1005</v>
      </c>
      <c r="O168" t="s">
        <v>266</v>
      </c>
      <c r="P168" t="s">
        <v>266</v>
      </c>
      <c r="Q168">
        <v>1</v>
      </c>
      <c r="X168">
        <v>250</v>
      </c>
      <c r="Y168">
        <v>9.1999999999999993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250</v>
      </c>
      <c r="AH168">
        <v>2</v>
      </c>
      <c r="AI168">
        <v>50211989</v>
      </c>
      <c r="AJ168">
        <v>172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ROW(Source!A299)</f>
        <v>299</v>
      </c>
      <c r="B169">
        <v>50211998</v>
      </c>
      <c r="C169">
        <v>50211983</v>
      </c>
      <c r="D169">
        <v>45853272</v>
      </c>
      <c r="E169">
        <v>1</v>
      </c>
      <c r="F169">
        <v>1</v>
      </c>
      <c r="G169">
        <v>1</v>
      </c>
      <c r="H169">
        <v>3</v>
      </c>
      <c r="I169" t="s">
        <v>582</v>
      </c>
      <c r="J169" t="s">
        <v>583</v>
      </c>
      <c r="K169" t="s">
        <v>584</v>
      </c>
      <c r="L169">
        <v>1339</v>
      </c>
      <c r="N169">
        <v>1007</v>
      </c>
      <c r="O169" t="s">
        <v>153</v>
      </c>
      <c r="P169" t="s">
        <v>153</v>
      </c>
      <c r="Q169">
        <v>1</v>
      </c>
      <c r="X169">
        <v>102</v>
      </c>
      <c r="Y169">
        <v>481.52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102</v>
      </c>
      <c r="AH169">
        <v>2</v>
      </c>
      <c r="AI169">
        <v>50211990</v>
      </c>
      <c r="AJ169">
        <v>173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ROW(Source!A299)</f>
        <v>299</v>
      </c>
      <c r="B170">
        <v>50211999</v>
      </c>
      <c r="C170">
        <v>50211983</v>
      </c>
      <c r="D170">
        <v>45865353</v>
      </c>
      <c r="E170">
        <v>1</v>
      </c>
      <c r="F170">
        <v>1</v>
      </c>
      <c r="G170">
        <v>1</v>
      </c>
      <c r="H170">
        <v>3</v>
      </c>
      <c r="I170" t="s">
        <v>488</v>
      </c>
      <c r="J170" t="s">
        <v>489</v>
      </c>
      <c r="K170" t="s">
        <v>490</v>
      </c>
      <c r="L170">
        <v>1339</v>
      </c>
      <c r="N170">
        <v>1007</v>
      </c>
      <c r="O170" t="s">
        <v>153</v>
      </c>
      <c r="P170" t="s">
        <v>153</v>
      </c>
      <c r="Q170">
        <v>1</v>
      </c>
      <c r="X170">
        <v>0.2</v>
      </c>
      <c r="Y170">
        <v>2.2599999999999998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0.2</v>
      </c>
      <c r="AH170">
        <v>2</v>
      </c>
      <c r="AI170">
        <v>50211991</v>
      </c>
      <c r="AJ170">
        <v>174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ROW(Source!A300)</f>
        <v>300</v>
      </c>
      <c r="B171">
        <v>50212002</v>
      </c>
      <c r="C171">
        <v>50212000</v>
      </c>
      <c r="D171">
        <v>45981686</v>
      </c>
      <c r="E171">
        <v>1</v>
      </c>
      <c r="F171">
        <v>1</v>
      </c>
      <c r="G171">
        <v>1</v>
      </c>
      <c r="H171">
        <v>1</v>
      </c>
      <c r="I171" t="s">
        <v>556</v>
      </c>
      <c r="J171" t="s">
        <v>3</v>
      </c>
      <c r="K171" t="s">
        <v>557</v>
      </c>
      <c r="L171">
        <v>1476</v>
      </c>
      <c r="N171">
        <v>1013</v>
      </c>
      <c r="O171" t="s">
        <v>447</v>
      </c>
      <c r="P171" t="s">
        <v>448</v>
      </c>
      <c r="Q171">
        <v>1</v>
      </c>
      <c r="X171">
        <v>88.5</v>
      </c>
      <c r="Y171">
        <v>0</v>
      </c>
      <c r="Z171">
        <v>0</v>
      </c>
      <c r="AA171">
        <v>0</v>
      </c>
      <c r="AB171">
        <v>6.1</v>
      </c>
      <c r="AC171">
        <v>0</v>
      </c>
      <c r="AD171">
        <v>1</v>
      </c>
      <c r="AE171">
        <v>1</v>
      </c>
      <c r="AF171" t="s">
        <v>12</v>
      </c>
      <c r="AG171">
        <v>101.77499999999999</v>
      </c>
      <c r="AH171">
        <v>2</v>
      </c>
      <c r="AI171">
        <v>50212001</v>
      </c>
      <c r="AJ171">
        <v>175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ROW(Source!A336)</f>
        <v>336</v>
      </c>
      <c r="B172">
        <v>50212005</v>
      </c>
      <c r="C172">
        <v>50212003</v>
      </c>
      <c r="D172">
        <v>45975178</v>
      </c>
      <c r="E172">
        <v>1</v>
      </c>
      <c r="F172">
        <v>1</v>
      </c>
      <c r="G172">
        <v>1</v>
      </c>
      <c r="H172">
        <v>1</v>
      </c>
      <c r="I172" t="s">
        <v>453</v>
      </c>
      <c r="J172" t="s">
        <v>3</v>
      </c>
      <c r="K172" t="s">
        <v>454</v>
      </c>
      <c r="L172">
        <v>1476</v>
      </c>
      <c r="N172">
        <v>1013</v>
      </c>
      <c r="O172" t="s">
        <v>447</v>
      </c>
      <c r="P172" t="s">
        <v>448</v>
      </c>
      <c r="Q172">
        <v>1</v>
      </c>
      <c r="X172">
        <v>280</v>
      </c>
      <c r="Y172">
        <v>0</v>
      </c>
      <c r="Z172">
        <v>0</v>
      </c>
      <c r="AA172">
        <v>0</v>
      </c>
      <c r="AB172">
        <v>6.35</v>
      </c>
      <c r="AC172">
        <v>0</v>
      </c>
      <c r="AD172">
        <v>1</v>
      </c>
      <c r="AE172">
        <v>1</v>
      </c>
      <c r="AF172" t="s">
        <v>12</v>
      </c>
      <c r="AG172">
        <v>322</v>
      </c>
      <c r="AH172">
        <v>2</v>
      </c>
      <c r="AI172">
        <v>50212004</v>
      </c>
      <c r="AJ172">
        <v>176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ROW(Source!A338)</f>
        <v>338</v>
      </c>
      <c r="B173">
        <v>50212016</v>
      </c>
      <c r="C173">
        <v>50212007</v>
      </c>
      <c r="D173">
        <v>45975178</v>
      </c>
      <c r="E173">
        <v>1</v>
      </c>
      <c r="F173">
        <v>1</v>
      </c>
      <c r="G173">
        <v>1</v>
      </c>
      <c r="H173">
        <v>1</v>
      </c>
      <c r="I173" t="s">
        <v>453</v>
      </c>
      <c r="J173" t="s">
        <v>3</v>
      </c>
      <c r="K173" t="s">
        <v>454</v>
      </c>
      <c r="L173">
        <v>1476</v>
      </c>
      <c r="N173">
        <v>1013</v>
      </c>
      <c r="O173" t="s">
        <v>447</v>
      </c>
      <c r="P173" t="s">
        <v>448</v>
      </c>
      <c r="Q173">
        <v>1</v>
      </c>
      <c r="X173">
        <v>180</v>
      </c>
      <c r="Y173">
        <v>0</v>
      </c>
      <c r="Z173">
        <v>0</v>
      </c>
      <c r="AA173">
        <v>0</v>
      </c>
      <c r="AB173">
        <v>6.35</v>
      </c>
      <c r="AC173">
        <v>0</v>
      </c>
      <c r="AD173">
        <v>1</v>
      </c>
      <c r="AE173">
        <v>1</v>
      </c>
      <c r="AF173" t="s">
        <v>12</v>
      </c>
      <c r="AG173">
        <v>206.99999999999997</v>
      </c>
      <c r="AH173">
        <v>2</v>
      </c>
      <c r="AI173">
        <v>50212008</v>
      </c>
      <c r="AJ173">
        <v>177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ROW(Source!A338)</f>
        <v>338</v>
      </c>
      <c r="B174">
        <v>50212017</v>
      </c>
      <c r="C174">
        <v>50212007</v>
      </c>
      <c r="D174">
        <v>121548</v>
      </c>
      <c r="E174">
        <v>1</v>
      </c>
      <c r="F174">
        <v>1</v>
      </c>
      <c r="G174">
        <v>1</v>
      </c>
      <c r="H174">
        <v>1</v>
      </c>
      <c r="I174" t="s">
        <v>25</v>
      </c>
      <c r="J174" t="s">
        <v>3</v>
      </c>
      <c r="K174" t="s">
        <v>463</v>
      </c>
      <c r="L174">
        <v>608254</v>
      </c>
      <c r="N174">
        <v>1013</v>
      </c>
      <c r="O174" t="s">
        <v>464</v>
      </c>
      <c r="P174" t="s">
        <v>464</v>
      </c>
      <c r="Q174">
        <v>1</v>
      </c>
      <c r="X174">
        <v>18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2</v>
      </c>
      <c r="AF174" t="s">
        <v>11</v>
      </c>
      <c r="AG174">
        <v>22.5</v>
      </c>
      <c r="AH174">
        <v>2</v>
      </c>
      <c r="AI174">
        <v>50212009</v>
      </c>
      <c r="AJ174">
        <v>178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ROW(Source!A338)</f>
        <v>338</v>
      </c>
      <c r="B175">
        <v>50212018</v>
      </c>
      <c r="C175">
        <v>50212007</v>
      </c>
      <c r="D175">
        <v>45811272</v>
      </c>
      <c r="E175">
        <v>1</v>
      </c>
      <c r="F175">
        <v>1</v>
      </c>
      <c r="G175">
        <v>1</v>
      </c>
      <c r="H175">
        <v>2</v>
      </c>
      <c r="I175" t="s">
        <v>573</v>
      </c>
      <c r="J175" t="s">
        <v>574</v>
      </c>
      <c r="K175" t="s">
        <v>575</v>
      </c>
      <c r="L175">
        <v>45811227</v>
      </c>
      <c r="N175">
        <v>1013</v>
      </c>
      <c r="O175" t="s">
        <v>452</v>
      </c>
      <c r="P175" t="s">
        <v>452</v>
      </c>
      <c r="Q175">
        <v>1</v>
      </c>
      <c r="X175">
        <v>18</v>
      </c>
      <c r="Y175">
        <v>0</v>
      </c>
      <c r="Z175">
        <v>86.16</v>
      </c>
      <c r="AA175">
        <v>13.26</v>
      </c>
      <c r="AB175">
        <v>0</v>
      </c>
      <c r="AC175">
        <v>0</v>
      </c>
      <c r="AD175">
        <v>1</v>
      </c>
      <c r="AE175">
        <v>0</v>
      </c>
      <c r="AF175" t="s">
        <v>11</v>
      </c>
      <c r="AG175">
        <v>22.5</v>
      </c>
      <c r="AH175">
        <v>2</v>
      </c>
      <c r="AI175">
        <v>50212010</v>
      </c>
      <c r="AJ175">
        <v>179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ROW(Source!A338)</f>
        <v>338</v>
      </c>
      <c r="B176">
        <v>50212019</v>
      </c>
      <c r="C176">
        <v>50212007</v>
      </c>
      <c r="D176">
        <v>45811901</v>
      </c>
      <c r="E176">
        <v>1</v>
      </c>
      <c r="F176">
        <v>1</v>
      </c>
      <c r="G176">
        <v>1</v>
      </c>
      <c r="H176">
        <v>2</v>
      </c>
      <c r="I176" t="s">
        <v>576</v>
      </c>
      <c r="J176" t="s">
        <v>577</v>
      </c>
      <c r="K176" t="s">
        <v>578</v>
      </c>
      <c r="L176">
        <v>45811227</v>
      </c>
      <c r="N176">
        <v>1013</v>
      </c>
      <c r="O176" t="s">
        <v>452</v>
      </c>
      <c r="P176" t="s">
        <v>452</v>
      </c>
      <c r="Q176">
        <v>1</v>
      </c>
      <c r="X176">
        <v>48</v>
      </c>
      <c r="Y176">
        <v>0</v>
      </c>
      <c r="Z176">
        <v>0.5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11</v>
      </c>
      <c r="AG176">
        <v>60</v>
      </c>
      <c r="AH176">
        <v>2</v>
      </c>
      <c r="AI176">
        <v>50212011</v>
      </c>
      <c r="AJ176">
        <v>180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ROW(Source!A338)</f>
        <v>338</v>
      </c>
      <c r="B177">
        <v>50212020</v>
      </c>
      <c r="C177">
        <v>50212007</v>
      </c>
      <c r="D177">
        <v>45813321</v>
      </c>
      <c r="E177">
        <v>1</v>
      </c>
      <c r="F177">
        <v>1</v>
      </c>
      <c r="G177">
        <v>1</v>
      </c>
      <c r="H177">
        <v>2</v>
      </c>
      <c r="I177" t="s">
        <v>532</v>
      </c>
      <c r="J177" t="s">
        <v>533</v>
      </c>
      <c r="K177" t="s">
        <v>534</v>
      </c>
      <c r="L177">
        <v>45811227</v>
      </c>
      <c r="N177">
        <v>1013</v>
      </c>
      <c r="O177" t="s">
        <v>452</v>
      </c>
      <c r="P177" t="s">
        <v>452</v>
      </c>
      <c r="Q177">
        <v>1</v>
      </c>
      <c r="X177">
        <v>0.13</v>
      </c>
      <c r="Y177">
        <v>0</v>
      </c>
      <c r="Z177">
        <v>86.55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11</v>
      </c>
      <c r="AG177">
        <v>0.16250000000000001</v>
      </c>
      <c r="AH177">
        <v>2</v>
      </c>
      <c r="AI177">
        <v>50212012</v>
      </c>
      <c r="AJ177">
        <v>181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ROW(Source!A338)</f>
        <v>338</v>
      </c>
      <c r="B178">
        <v>50212021</v>
      </c>
      <c r="C178">
        <v>50212007</v>
      </c>
      <c r="D178">
        <v>45816198</v>
      </c>
      <c r="E178">
        <v>1</v>
      </c>
      <c r="F178">
        <v>1</v>
      </c>
      <c r="G178">
        <v>1</v>
      </c>
      <c r="H178">
        <v>3</v>
      </c>
      <c r="I178" t="s">
        <v>579</v>
      </c>
      <c r="J178" t="s">
        <v>580</v>
      </c>
      <c r="K178" t="s">
        <v>581</v>
      </c>
      <c r="L178">
        <v>1327</v>
      </c>
      <c r="N178">
        <v>1005</v>
      </c>
      <c r="O178" t="s">
        <v>266</v>
      </c>
      <c r="P178" t="s">
        <v>266</v>
      </c>
      <c r="Q178">
        <v>1</v>
      </c>
      <c r="X178">
        <v>250</v>
      </c>
      <c r="Y178">
        <v>9.1999999999999993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250</v>
      </c>
      <c r="AH178">
        <v>2</v>
      </c>
      <c r="AI178">
        <v>50212013</v>
      </c>
      <c r="AJ178">
        <v>182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ROW(Source!A338)</f>
        <v>338</v>
      </c>
      <c r="B179">
        <v>50212022</v>
      </c>
      <c r="C179">
        <v>50212007</v>
      </c>
      <c r="D179">
        <v>45853272</v>
      </c>
      <c r="E179">
        <v>1</v>
      </c>
      <c r="F179">
        <v>1</v>
      </c>
      <c r="G179">
        <v>1</v>
      </c>
      <c r="H179">
        <v>3</v>
      </c>
      <c r="I179" t="s">
        <v>582</v>
      </c>
      <c r="J179" t="s">
        <v>583</v>
      </c>
      <c r="K179" t="s">
        <v>584</v>
      </c>
      <c r="L179">
        <v>1339</v>
      </c>
      <c r="N179">
        <v>1007</v>
      </c>
      <c r="O179" t="s">
        <v>153</v>
      </c>
      <c r="P179" t="s">
        <v>153</v>
      </c>
      <c r="Q179">
        <v>1</v>
      </c>
      <c r="X179">
        <v>102</v>
      </c>
      <c r="Y179">
        <v>481.52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102</v>
      </c>
      <c r="AH179">
        <v>2</v>
      </c>
      <c r="AI179">
        <v>50212014</v>
      </c>
      <c r="AJ179">
        <v>183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ROW(Source!A338)</f>
        <v>338</v>
      </c>
      <c r="B180">
        <v>50212023</v>
      </c>
      <c r="C180">
        <v>50212007</v>
      </c>
      <c r="D180">
        <v>45865353</v>
      </c>
      <c r="E180">
        <v>1</v>
      </c>
      <c r="F180">
        <v>1</v>
      </c>
      <c r="G180">
        <v>1</v>
      </c>
      <c r="H180">
        <v>3</v>
      </c>
      <c r="I180" t="s">
        <v>488</v>
      </c>
      <c r="J180" t="s">
        <v>489</v>
      </c>
      <c r="K180" t="s">
        <v>490</v>
      </c>
      <c r="L180">
        <v>1339</v>
      </c>
      <c r="N180">
        <v>1007</v>
      </c>
      <c r="O180" t="s">
        <v>153</v>
      </c>
      <c r="P180" t="s">
        <v>153</v>
      </c>
      <c r="Q180">
        <v>1</v>
      </c>
      <c r="X180">
        <v>0.2</v>
      </c>
      <c r="Y180">
        <v>2.2599999999999998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0.2</v>
      </c>
      <c r="AH180">
        <v>2</v>
      </c>
      <c r="AI180">
        <v>50212015</v>
      </c>
      <c r="AJ180">
        <v>184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ROW(Source!A339)</f>
        <v>339</v>
      </c>
      <c r="B181">
        <v>50212026</v>
      </c>
      <c r="C181">
        <v>50212024</v>
      </c>
      <c r="D181">
        <v>45981686</v>
      </c>
      <c r="E181">
        <v>1</v>
      </c>
      <c r="F181">
        <v>1</v>
      </c>
      <c r="G181">
        <v>1</v>
      </c>
      <c r="H181">
        <v>1</v>
      </c>
      <c r="I181" t="s">
        <v>556</v>
      </c>
      <c r="J181" t="s">
        <v>3</v>
      </c>
      <c r="K181" t="s">
        <v>557</v>
      </c>
      <c r="L181">
        <v>1476</v>
      </c>
      <c r="N181">
        <v>1013</v>
      </c>
      <c r="O181" t="s">
        <v>447</v>
      </c>
      <c r="P181" t="s">
        <v>448</v>
      </c>
      <c r="Q181">
        <v>1</v>
      </c>
      <c r="X181">
        <v>88.5</v>
      </c>
      <c r="Y181">
        <v>0</v>
      </c>
      <c r="Z181">
        <v>0</v>
      </c>
      <c r="AA181">
        <v>0</v>
      </c>
      <c r="AB181">
        <v>6.1</v>
      </c>
      <c r="AC181">
        <v>0</v>
      </c>
      <c r="AD181">
        <v>1</v>
      </c>
      <c r="AE181">
        <v>1</v>
      </c>
      <c r="AF181" t="s">
        <v>62</v>
      </c>
      <c r="AG181">
        <v>101.77499999999999</v>
      </c>
      <c r="AH181">
        <v>2</v>
      </c>
      <c r="AI181">
        <v>50212025</v>
      </c>
      <c r="AJ181">
        <v>185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ROW(Source!A412)</f>
        <v>412</v>
      </c>
      <c r="B182">
        <v>50212034</v>
      </c>
      <c r="C182">
        <v>50212027</v>
      </c>
      <c r="D182">
        <v>45977011</v>
      </c>
      <c r="E182">
        <v>1</v>
      </c>
      <c r="F182">
        <v>1</v>
      </c>
      <c r="G182">
        <v>1</v>
      </c>
      <c r="H182">
        <v>1</v>
      </c>
      <c r="I182" t="s">
        <v>585</v>
      </c>
      <c r="J182" t="s">
        <v>3</v>
      </c>
      <c r="K182" t="s">
        <v>586</v>
      </c>
      <c r="L182">
        <v>1476</v>
      </c>
      <c r="N182">
        <v>1013</v>
      </c>
      <c r="O182" t="s">
        <v>447</v>
      </c>
      <c r="P182" t="s">
        <v>448</v>
      </c>
      <c r="Q182">
        <v>1</v>
      </c>
      <c r="X182">
        <v>243.35</v>
      </c>
      <c r="Y182">
        <v>0</v>
      </c>
      <c r="Z182">
        <v>0</v>
      </c>
      <c r="AA182">
        <v>0</v>
      </c>
      <c r="AB182">
        <v>6.76</v>
      </c>
      <c r="AC182">
        <v>0</v>
      </c>
      <c r="AD182">
        <v>1</v>
      </c>
      <c r="AE182">
        <v>1</v>
      </c>
      <c r="AF182" t="s">
        <v>3</v>
      </c>
      <c r="AG182">
        <v>243.35</v>
      </c>
      <c r="AH182">
        <v>2</v>
      </c>
      <c r="AI182">
        <v>50212028</v>
      </c>
      <c r="AJ182">
        <v>186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ROW(Source!A412)</f>
        <v>412</v>
      </c>
      <c r="B183">
        <v>50212035</v>
      </c>
      <c r="C183">
        <v>50212027</v>
      </c>
      <c r="D183">
        <v>121548</v>
      </c>
      <c r="E183">
        <v>1</v>
      </c>
      <c r="F183">
        <v>1</v>
      </c>
      <c r="G183">
        <v>1</v>
      </c>
      <c r="H183">
        <v>1</v>
      </c>
      <c r="I183" t="s">
        <v>25</v>
      </c>
      <c r="J183" t="s">
        <v>3</v>
      </c>
      <c r="K183" t="s">
        <v>463</v>
      </c>
      <c r="L183">
        <v>608254</v>
      </c>
      <c r="N183">
        <v>1013</v>
      </c>
      <c r="O183" t="s">
        <v>464</v>
      </c>
      <c r="P183" t="s">
        <v>464</v>
      </c>
      <c r="Q183">
        <v>1</v>
      </c>
      <c r="X183">
        <v>41.39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2</v>
      </c>
      <c r="AF183" t="s">
        <v>3</v>
      </c>
      <c r="AG183">
        <v>41.39</v>
      </c>
      <c r="AH183">
        <v>2</v>
      </c>
      <c r="AI183">
        <v>50212029</v>
      </c>
      <c r="AJ183">
        <v>187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ROW(Source!A412)</f>
        <v>412</v>
      </c>
      <c r="B184">
        <v>50212036</v>
      </c>
      <c r="C184">
        <v>50212027</v>
      </c>
      <c r="D184">
        <v>45811598</v>
      </c>
      <c r="E184">
        <v>1</v>
      </c>
      <c r="F184">
        <v>1</v>
      </c>
      <c r="G184">
        <v>1</v>
      </c>
      <c r="H184">
        <v>2</v>
      </c>
      <c r="I184" t="s">
        <v>493</v>
      </c>
      <c r="J184" t="s">
        <v>494</v>
      </c>
      <c r="K184" t="s">
        <v>495</v>
      </c>
      <c r="L184">
        <v>45811227</v>
      </c>
      <c r="N184">
        <v>1013</v>
      </c>
      <c r="O184" t="s">
        <v>452</v>
      </c>
      <c r="P184" t="s">
        <v>452</v>
      </c>
      <c r="Q184">
        <v>1</v>
      </c>
      <c r="X184">
        <v>39.25</v>
      </c>
      <c r="Y184">
        <v>0</v>
      </c>
      <c r="Z184">
        <v>89.82</v>
      </c>
      <c r="AA184">
        <v>9.8800000000000008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39.25</v>
      </c>
      <c r="AH184">
        <v>2</v>
      </c>
      <c r="AI184">
        <v>50212030</v>
      </c>
      <c r="AJ184">
        <v>188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ROW(Source!A412)</f>
        <v>412</v>
      </c>
      <c r="B185">
        <v>50212037</v>
      </c>
      <c r="C185">
        <v>50212027</v>
      </c>
      <c r="D185">
        <v>45811793</v>
      </c>
      <c r="E185">
        <v>1</v>
      </c>
      <c r="F185">
        <v>1</v>
      </c>
      <c r="G185">
        <v>1</v>
      </c>
      <c r="H185">
        <v>2</v>
      </c>
      <c r="I185" t="s">
        <v>587</v>
      </c>
      <c r="J185" t="s">
        <v>588</v>
      </c>
      <c r="K185" t="s">
        <v>589</v>
      </c>
      <c r="L185">
        <v>45811227</v>
      </c>
      <c r="N185">
        <v>1013</v>
      </c>
      <c r="O185" t="s">
        <v>452</v>
      </c>
      <c r="P185" t="s">
        <v>452</v>
      </c>
      <c r="Q185">
        <v>1</v>
      </c>
      <c r="X185">
        <v>1.29</v>
      </c>
      <c r="Y185">
        <v>0</v>
      </c>
      <c r="Z185">
        <v>8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</v>
      </c>
      <c r="AG185">
        <v>1.29</v>
      </c>
      <c r="AH185">
        <v>2</v>
      </c>
      <c r="AI185">
        <v>50212031</v>
      </c>
      <c r="AJ185">
        <v>189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ROW(Source!A412)</f>
        <v>412</v>
      </c>
      <c r="B186">
        <v>50212038</v>
      </c>
      <c r="C186">
        <v>50212027</v>
      </c>
      <c r="D186">
        <v>45811921</v>
      </c>
      <c r="E186">
        <v>1</v>
      </c>
      <c r="F186">
        <v>1</v>
      </c>
      <c r="G186">
        <v>1</v>
      </c>
      <c r="H186">
        <v>2</v>
      </c>
      <c r="I186" t="s">
        <v>501</v>
      </c>
      <c r="J186" t="s">
        <v>502</v>
      </c>
      <c r="K186" t="s">
        <v>503</v>
      </c>
      <c r="L186">
        <v>45811227</v>
      </c>
      <c r="N186">
        <v>1013</v>
      </c>
      <c r="O186" t="s">
        <v>452</v>
      </c>
      <c r="P186" t="s">
        <v>452</v>
      </c>
      <c r="Q186">
        <v>1</v>
      </c>
      <c r="X186">
        <v>2.14</v>
      </c>
      <c r="Y186">
        <v>0</v>
      </c>
      <c r="Z186">
        <v>122.76</v>
      </c>
      <c r="AA186">
        <v>13.26</v>
      </c>
      <c r="AB186">
        <v>0</v>
      </c>
      <c r="AC186">
        <v>0</v>
      </c>
      <c r="AD186">
        <v>1</v>
      </c>
      <c r="AE186">
        <v>0</v>
      </c>
      <c r="AF186" t="s">
        <v>3</v>
      </c>
      <c r="AG186">
        <v>2.14</v>
      </c>
      <c r="AH186">
        <v>2</v>
      </c>
      <c r="AI186">
        <v>50212032</v>
      </c>
      <c r="AJ186">
        <v>190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ROW(Source!A412)</f>
        <v>412</v>
      </c>
      <c r="B187">
        <v>50212039</v>
      </c>
      <c r="C187">
        <v>50212027</v>
      </c>
      <c r="D187">
        <v>45813004</v>
      </c>
      <c r="E187">
        <v>1</v>
      </c>
      <c r="F187">
        <v>1</v>
      </c>
      <c r="G187">
        <v>1</v>
      </c>
      <c r="H187">
        <v>2</v>
      </c>
      <c r="I187" t="s">
        <v>460</v>
      </c>
      <c r="J187" t="s">
        <v>461</v>
      </c>
      <c r="K187" t="s">
        <v>462</v>
      </c>
      <c r="L187">
        <v>45811227</v>
      </c>
      <c r="N187">
        <v>1013</v>
      </c>
      <c r="O187" t="s">
        <v>452</v>
      </c>
      <c r="P187" t="s">
        <v>452</v>
      </c>
      <c r="Q187">
        <v>1</v>
      </c>
      <c r="X187">
        <v>117.75</v>
      </c>
      <c r="Y187">
        <v>0</v>
      </c>
      <c r="Z187">
        <v>1.53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3</v>
      </c>
      <c r="AG187">
        <v>117.75</v>
      </c>
      <c r="AH187">
        <v>2</v>
      </c>
      <c r="AI187">
        <v>50212033</v>
      </c>
      <c r="AJ187">
        <v>191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ROW(Source!A415)</f>
        <v>415</v>
      </c>
      <c r="B188">
        <v>50212058</v>
      </c>
      <c r="C188">
        <v>50212042</v>
      </c>
      <c r="D188">
        <v>45968655</v>
      </c>
      <c r="E188">
        <v>1</v>
      </c>
      <c r="F188">
        <v>1</v>
      </c>
      <c r="G188">
        <v>1</v>
      </c>
      <c r="H188">
        <v>1</v>
      </c>
      <c r="I188" t="s">
        <v>455</v>
      </c>
      <c r="J188" t="s">
        <v>3</v>
      </c>
      <c r="K188" t="s">
        <v>456</v>
      </c>
      <c r="L188">
        <v>1476</v>
      </c>
      <c r="N188">
        <v>1013</v>
      </c>
      <c r="O188" t="s">
        <v>447</v>
      </c>
      <c r="P188" t="s">
        <v>448</v>
      </c>
      <c r="Q188">
        <v>1</v>
      </c>
      <c r="X188">
        <v>116.82</v>
      </c>
      <c r="Y188">
        <v>0</v>
      </c>
      <c r="Z188">
        <v>0</v>
      </c>
      <c r="AA188">
        <v>0</v>
      </c>
      <c r="AB188">
        <v>6.94</v>
      </c>
      <c r="AC188">
        <v>0</v>
      </c>
      <c r="AD188">
        <v>1</v>
      </c>
      <c r="AE188">
        <v>1</v>
      </c>
      <c r="AF188" t="s">
        <v>62</v>
      </c>
      <c r="AG188">
        <v>134.34299999999999</v>
      </c>
      <c r="AH188">
        <v>2</v>
      </c>
      <c r="AI188">
        <v>50212043</v>
      </c>
      <c r="AJ188">
        <v>192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ROW(Source!A415)</f>
        <v>415</v>
      </c>
      <c r="B189">
        <v>50212059</v>
      </c>
      <c r="C189">
        <v>50212042</v>
      </c>
      <c r="D189">
        <v>121548</v>
      </c>
      <c r="E189">
        <v>1</v>
      </c>
      <c r="F189">
        <v>1</v>
      </c>
      <c r="G189">
        <v>1</v>
      </c>
      <c r="H189">
        <v>1</v>
      </c>
      <c r="I189" t="s">
        <v>25</v>
      </c>
      <c r="J189" t="s">
        <v>3</v>
      </c>
      <c r="K189" t="s">
        <v>463</v>
      </c>
      <c r="L189">
        <v>608254</v>
      </c>
      <c r="N189">
        <v>1013</v>
      </c>
      <c r="O189" t="s">
        <v>464</v>
      </c>
      <c r="P189" t="s">
        <v>464</v>
      </c>
      <c r="Q189">
        <v>1</v>
      </c>
      <c r="X189">
        <v>19.440000000000001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2</v>
      </c>
      <c r="AF189" t="s">
        <v>61</v>
      </c>
      <c r="AG189">
        <v>24.3</v>
      </c>
      <c r="AH189">
        <v>2</v>
      </c>
      <c r="AI189">
        <v>50212044</v>
      </c>
      <c r="AJ189">
        <v>193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ROW(Source!A415)</f>
        <v>415</v>
      </c>
      <c r="B190">
        <v>50212060</v>
      </c>
      <c r="C190">
        <v>50212042</v>
      </c>
      <c r="D190">
        <v>45811272</v>
      </c>
      <c r="E190">
        <v>1</v>
      </c>
      <c r="F190">
        <v>1</v>
      </c>
      <c r="G190">
        <v>1</v>
      </c>
      <c r="H190">
        <v>2</v>
      </c>
      <c r="I190" t="s">
        <v>573</v>
      </c>
      <c r="J190" t="s">
        <v>574</v>
      </c>
      <c r="K190" t="s">
        <v>575</v>
      </c>
      <c r="L190">
        <v>45811227</v>
      </c>
      <c r="N190">
        <v>1013</v>
      </c>
      <c r="O190" t="s">
        <v>452</v>
      </c>
      <c r="P190" t="s">
        <v>452</v>
      </c>
      <c r="Q190">
        <v>1</v>
      </c>
      <c r="X190">
        <v>18.68</v>
      </c>
      <c r="Y190">
        <v>0</v>
      </c>
      <c r="Z190">
        <v>86.16</v>
      </c>
      <c r="AA190">
        <v>13.26</v>
      </c>
      <c r="AB190">
        <v>0</v>
      </c>
      <c r="AC190">
        <v>0</v>
      </c>
      <c r="AD190">
        <v>1</v>
      </c>
      <c r="AE190">
        <v>0</v>
      </c>
      <c r="AF190" t="s">
        <v>61</v>
      </c>
      <c r="AG190">
        <v>23.35</v>
      </c>
      <c r="AH190">
        <v>2</v>
      </c>
      <c r="AI190">
        <v>50212045</v>
      </c>
      <c r="AJ190">
        <v>194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ROW(Source!A415)</f>
        <v>415</v>
      </c>
      <c r="B191">
        <v>50212061</v>
      </c>
      <c r="C191">
        <v>50212042</v>
      </c>
      <c r="D191">
        <v>45811353</v>
      </c>
      <c r="E191">
        <v>1</v>
      </c>
      <c r="F191">
        <v>1</v>
      </c>
      <c r="G191">
        <v>1</v>
      </c>
      <c r="H191">
        <v>2</v>
      </c>
      <c r="I191" t="s">
        <v>517</v>
      </c>
      <c r="J191" t="s">
        <v>518</v>
      </c>
      <c r="K191" t="s">
        <v>519</v>
      </c>
      <c r="L191">
        <v>45811227</v>
      </c>
      <c r="N191">
        <v>1013</v>
      </c>
      <c r="O191" t="s">
        <v>452</v>
      </c>
      <c r="P191" t="s">
        <v>452</v>
      </c>
      <c r="Q191">
        <v>1</v>
      </c>
      <c r="X191">
        <v>0.49</v>
      </c>
      <c r="Y191">
        <v>0</v>
      </c>
      <c r="Z191">
        <v>111.75</v>
      </c>
      <c r="AA191">
        <v>13.26</v>
      </c>
      <c r="AB191">
        <v>0</v>
      </c>
      <c r="AC191">
        <v>0</v>
      </c>
      <c r="AD191">
        <v>1</v>
      </c>
      <c r="AE191">
        <v>0</v>
      </c>
      <c r="AF191" t="s">
        <v>61</v>
      </c>
      <c r="AG191">
        <v>0.61250000000000004</v>
      </c>
      <c r="AH191">
        <v>2</v>
      </c>
      <c r="AI191">
        <v>50212046</v>
      </c>
      <c r="AJ191">
        <v>195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ROW(Source!A415)</f>
        <v>415</v>
      </c>
      <c r="B192">
        <v>50212062</v>
      </c>
      <c r="C192">
        <v>50212042</v>
      </c>
      <c r="D192">
        <v>45811426</v>
      </c>
      <c r="E192">
        <v>1</v>
      </c>
      <c r="F192">
        <v>1</v>
      </c>
      <c r="G192">
        <v>1</v>
      </c>
      <c r="H192">
        <v>2</v>
      </c>
      <c r="I192" t="s">
        <v>498</v>
      </c>
      <c r="J192" t="s">
        <v>499</v>
      </c>
      <c r="K192" t="s">
        <v>500</v>
      </c>
      <c r="L192">
        <v>45811227</v>
      </c>
      <c r="N192">
        <v>1013</v>
      </c>
      <c r="O192" t="s">
        <v>452</v>
      </c>
      <c r="P192" t="s">
        <v>452</v>
      </c>
      <c r="Q192">
        <v>1</v>
      </c>
      <c r="X192">
        <v>0.27</v>
      </c>
      <c r="Y192">
        <v>0</v>
      </c>
      <c r="Z192">
        <v>89.81</v>
      </c>
      <c r="AA192">
        <v>9.8800000000000008</v>
      </c>
      <c r="AB192">
        <v>0</v>
      </c>
      <c r="AC192">
        <v>0</v>
      </c>
      <c r="AD192">
        <v>1</v>
      </c>
      <c r="AE192">
        <v>0</v>
      </c>
      <c r="AF192" t="s">
        <v>61</v>
      </c>
      <c r="AG192">
        <v>0.33750000000000002</v>
      </c>
      <c r="AH192">
        <v>2</v>
      </c>
      <c r="AI192">
        <v>50212047</v>
      </c>
      <c r="AJ192">
        <v>196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ROW(Source!A415)</f>
        <v>415</v>
      </c>
      <c r="B193">
        <v>50212063</v>
      </c>
      <c r="C193">
        <v>50212042</v>
      </c>
      <c r="D193">
        <v>45811899</v>
      </c>
      <c r="E193">
        <v>1</v>
      </c>
      <c r="F193">
        <v>1</v>
      </c>
      <c r="G193">
        <v>1</v>
      </c>
      <c r="H193">
        <v>2</v>
      </c>
      <c r="I193" t="s">
        <v>590</v>
      </c>
      <c r="J193" t="s">
        <v>591</v>
      </c>
      <c r="K193" t="s">
        <v>592</v>
      </c>
      <c r="L193">
        <v>45811227</v>
      </c>
      <c r="N193">
        <v>1013</v>
      </c>
      <c r="O193" t="s">
        <v>452</v>
      </c>
      <c r="P193" t="s">
        <v>452</v>
      </c>
      <c r="Q193">
        <v>1</v>
      </c>
      <c r="X193">
        <v>5.83</v>
      </c>
      <c r="Y193">
        <v>0</v>
      </c>
      <c r="Z193">
        <v>1.9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61</v>
      </c>
      <c r="AG193">
        <v>7.2874999999999996</v>
      </c>
      <c r="AH193">
        <v>2</v>
      </c>
      <c r="AI193">
        <v>50212048</v>
      </c>
      <c r="AJ193">
        <v>197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ROW(Source!A415)</f>
        <v>415</v>
      </c>
      <c r="B194">
        <v>50212064</v>
      </c>
      <c r="C194">
        <v>50212042</v>
      </c>
      <c r="D194">
        <v>45813051</v>
      </c>
      <c r="E194">
        <v>1</v>
      </c>
      <c r="F194">
        <v>1</v>
      </c>
      <c r="G194">
        <v>1</v>
      </c>
      <c r="H194">
        <v>2</v>
      </c>
      <c r="I194" t="s">
        <v>593</v>
      </c>
      <c r="J194" t="s">
        <v>594</v>
      </c>
      <c r="K194" t="s">
        <v>595</v>
      </c>
      <c r="L194">
        <v>45811227</v>
      </c>
      <c r="N194">
        <v>1013</v>
      </c>
      <c r="O194" t="s">
        <v>452</v>
      </c>
      <c r="P194" t="s">
        <v>452</v>
      </c>
      <c r="Q194">
        <v>1</v>
      </c>
      <c r="X194">
        <v>0.1</v>
      </c>
      <c r="Y194">
        <v>0</v>
      </c>
      <c r="Z194">
        <v>3.27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61</v>
      </c>
      <c r="AG194">
        <v>0.125</v>
      </c>
      <c r="AH194">
        <v>2</v>
      </c>
      <c r="AI194">
        <v>50212049</v>
      </c>
      <c r="AJ194">
        <v>198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ROW(Source!A415)</f>
        <v>415</v>
      </c>
      <c r="B195">
        <v>50212065</v>
      </c>
      <c r="C195">
        <v>50212042</v>
      </c>
      <c r="D195">
        <v>45813321</v>
      </c>
      <c r="E195">
        <v>1</v>
      </c>
      <c r="F195">
        <v>1</v>
      </c>
      <c r="G195">
        <v>1</v>
      </c>
      <c r="H195">
        <v>2</v>
      </c>
      <c r="I195" t="s">
        <v>532</v>
      </c>
      <c r="J195" t="s">
        <v>533</v>
      </c>
      <c r="K195" t="s">
        <v>534</v>
      </c>
      <c r="L195">
        <v>45811227</v>
      </c>
      <c r="N195">
        <v>1013</v>
      </c>
      <c r="O195" t="s">
        <v>452</v>
      </c>
      <c r="P195" t="s">
        <v>452</v>
      </c>
      <c r="Q195">
        <v>1</v>
      </c>
      <c r="X195">
        <v>0.71</v>
      </c>
      <c r="Y195">
        <v>0</v>
      </c>
      <c r="Z195">
        <v>86.55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61</v>
      </c>
      <c r="AG195">
        <v>0.88749999999999996</v>
      </c>
      <c r="AH195">
        <v>2</v>
      </c>
      <c r="AI195">
        <v>50212050</v>
      </c>
      <c r="AJ195">
        <v>199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ROW(Source!A415)</f>
        <v>415</v>
      </c>
      <c r="B196">
        <v>50212066</v>
      </c>
      <c r="C196">
        <v>50212042</v>
      </c>
      <c r="D196">
        <v>45816198</v>
      </c>
      <c r="E196">
        <v>1</v>
      </c>
      <c r="F196">
        <v>1</v>
      </c>
      <c r="G196">
        <v>1</v>
      </c>
      <c r="H196">
        <v>3</v>
      </c>
      <c r="I196" t="s">
        <v>579</v>
      </c>
      <c r="J196" t="s">
        <v>580</v>
      </c>
      <c r="K196" t="s">
        <v>581</v>
      </c>
      <c r="L196">
        <v>1327</v>
      </c>
      <c r="N196">
        <v>1005</v>
      </c>
      <c r="O196" t="s">
        <v>266</v>
      </c>
      <c r="P196" t="s">
        <v>266</v>
      </c>
      <c r="Q196">
        <v>1</v>
      </c>
      <c r="X196">
        <v>30</v>
      </c>
      <c r="Y196">
        <v>9.1999999999999993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3</v>
      </c>
      <c r="AG196">
        <v>30</v>
      </c>
      <c r="AH196">
        <v>2</v>
      </c>
      <c r="AI196">
        <v>50212051</v>
      </c>
      <c r="AJ196">
        <v>200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ROW(Source!A415)</f>
        <v>415</v>
      </c>
      <c r="B197">
        <v>50212067</v>
      </c>
      <c r="C197">
        <v>50212042</v>
      </c>
      <c r="D197">
        <v>45816422</v>
      </c>
      <c r="E197">
        <v>1</v>
      </c>
      <c r="F197">
        <v>1</v>
      </c>
      <c r="G197">
        <v>1</v>
      </c>
      <c r="H197">
        <v>3</v>
      </c>
      <c r="I197" t="s">
        <v>550</v>
      </c>
      <c r="J197" t="s">
        <v>551</v>
      </c>
      <c r="K197" t="s">
        <v>552</v>
      </c>
      <c r="L197">
        <v>1348</v>
      </c>
      <c r="N197">
        <v>1009</v>
      </c>
      <c r="O197" t="s">
        <v>190</v>
      </c>
      <c r="P197" t="s">
        <v>190</v>
      </c>
      <c r="Q197">
        <v>1000</v>
      </c>
      <c r="X197">
        <v>2E-3</v>
      </c>
      <c r="Y197">
        <v>10992.4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3</v>
      </c>
      <c r="AG197">
        <v>2E-3</v>
      </c>
      <c r="AH197">
        <v>2</v>
      </c>
      <c r="AI197">
        <v>50212052</v>
      </c>
      <c r="AJ197">
        <v>201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ROW(Source!A415)</f>
        <v>415</v>
      </c>
      <c r="B198">
        <v>50212068</v>
      </c>
      <c r="C198">
        <v>50212042</v>
      </c>
      <c r="D198">
        <v>45823134</v>
      </c>
      <c r="E198">
        <v>1</v>
      </c>
      <c r="F198">
        <v>1</v>
      </c>
      <c r="G198">
        <v>1</v>
      </c>
      <c r="H198">
        <v>3</v>
      </c>
      <c r="I198" t="s">
        <v>596</v>
      </c>
      <c r="J198" t="s">
        <v>597</v>
      </c>
      <c r="K198" t="s">
        <v>598</v>
      </c>
      <c r="L198">
        <v>1339</v>
      </c>
      <c r="N198">
        <v>1007</v>
      </c>
      <c r="O198" t="s">
        <v>153</v>
      </c>
      <c r="P198" t="s">
        <v>153</v>
      </c>
      <c r="Q198">
        <v>1</v>
      </c>
      <c r="X198">
        <v>0.04</v>
      </c>
      <c r="Y198">
        <v>959.12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0.04</v>
      </c>
      <c r="AH198">
        <v>2</v>
      </c>
      <c r="AI198">
        <v>50212053</v>
      </c>
      <c r="AJ198">
        <v>202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ROW(Source!A415)</f>
        <v>415</v>
      </c>
      <c r="B199">
        <v>50212069</v>
      </c>
      <c r="C199">
        <v>50212042</v>
      </c>
      <c r="D199">
        <v>45838644</v>
      </c>
      <c r="E199">
        <v>1</v>
      </c>
      <c r="F199">
        <v>1</v>
      </c>
      <c r="G199">
        <v>1</v>
      </c>
      <c r="H199">
        <v>3</v>
      </c>
      <c r="I199" t="s">
        <v>599</v>
      </c>
      <c r="J199" t="s">
        <v>600</v>
      </c>
      <c r="K199" t="s">
        <v>601</v>
      </c>
      <c r="L199">
        <v>1327</v>
      </c>
      <c r="N199">
        <v>1005</v>
      </c>
      <c r="O199" t="s">
        <v>266</v>
      </c>
      <c r="P199" t="s">
        <v>266</v>
      </c>
      <c r="Q199">
        <v>1</v>
      </c>
      <c r="X199">
        <v>3.6</v>
      </c>
      <c r="Y199">
        <v>54.22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3.6</v>
      </c>
      <c r="AH199">
        <v>2</v>
      </c>
      <c r="AI199">
        <v>50212054</v>
      </c>
      <c r="AJ199">
        <v>203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ROW(Source!A415)</f>
        <v>415</v>
      </c>
      <c r="B200">
        <v>50212070</v>
      </c>
      <c r="C200">
        <v>50212042</v>
      </c>
      <c r="D200">
        <v>45853239</v>
      </c>
      <c r="E200">
        <v>1</v>
      </c>
      <c r="F200">
        <v>1</v>
      </c>
      <c r="G200">
        <v>1</v>
      </c>
      <c r="H200">
        <v>3</v>
      </c>
      <c r="I200" t="s">
        <v>602</v>
      </c>
      <c r="J200" t="s">
        <v>603</v>
      </c>
      <c r="K200" t="s">
        <v>604</v>
      </c>
      <c r="L200">
        <v>1339</v>
      </c>
      <c r="N200">
        <v>1007</v>
      </c>
      <c r="O200" t="s">
        <v>153</v>
      </c>
      <c r="P200" t="s">
        <v>153</v>
      </c>
      <c r="Q200">
        <v>1</v>
      </c>
      <c r="X200">
        <v>102</v>
      </c>
      <c r="Y200">
        <v>521.88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102</v>
      </c>
      <c r="AH200">
        <v>2</v>
      </c>
      <c r="AI200">
        <v>50212055</v>
      </c>
      <c r="AJ200">
        <v>204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ROW(Source!A415)</f>
        <v>415</v>
      </c>
      <c r="B201">
        <v>50212071</v>
      </c>
      <c r="C201">
        <v>50212042</v>
      </c>
      <c r="D201">
        <v>45864629</v>
      </c>
      <c r="E201">
        <v>1</v>
      </c>
      <c r="F201">
        <v>1</v>
      </c>
      <c r="G201">
        <v>1</v>
      </c>
      <c r="H201">
        <v>3</v>
      </c>
      <c r="I201" t="s">
        <v>605</v>
      </c>
      <c r="J201" t="s">
        <v>606</v>
      </c>
      <c r="K201" t="s">
        <v>607</v>
      </c>
      <c r="L201">
        <v>1348</v>
      </c>
      <c r="N201">
        <v>1009</v>
      </c>
      <c r="O201" t="s">
        <v>190</v>
      </c>
      <c r="P201" t="s">
        <v>190</v>
      </c>
      <c r="Q201">
        <v>1000</v>
      </c>
      <c r="X201">
        <v>0.01</v>
      </c>
      <c r="Y201">
        <v>680.16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0.01</v>
      </c>
      <c r="AH201">
        <v>2</v>
      </c>
      <c r="AI201">
        <v>50212056</v>
      </c>
      <c r="AJ201">
        <v>205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ROW(Source!A415)</f>
        <v>415</v>
      </c>
      <c r="B202">
        <v>50212072</v>
      </c>
      <c r="C202">
        <v>50212042</v>
      </c>
      <c r="D202">
        <v>45865353</v>
      </c>
      <c r="E202">
        <v>1</v>
      </c>
      <c r="F202">
        <v>1</v>
      </c>
      <c r="G202">
        <v>1</v>
      </c>
      <c r="H202">
        <v>3</v>
      </c>
      <c r="I202" t="s">
        <v>488</v>
      </c>
      <c r="J202" t="s">
        <v>489</v>
      </c>
      <c r="K202" t="s">
        <v>490</v>
      </c>
      <c r="L202">
        <v>1339</v>
      </c>
      <c r="N202">
        <v>1007</v>
      </c>
      <c r="O202" t="s">
        <v>153</v>
      </c>
      <c r="P202" t="s">
        <v>153</v>
      </c>
      <c r="Q202">
        <v>1</v>
      </c>
      <c r="X202">
        <v>0.73</v>
      </c>
      <c r="Y202">
        <v>2.2599999999999998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0.73</v>
      </c>
      <c r="AH202">
        <v>2</v>
      </c>
      <c r="AI202">
        <v>50212057</v>
      </c>
      <c r="AJ202">
        <v>206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ROW(Source!A416)</f>
        <v>416</v>
      </c>
      <c r="B203">
        <v>50212080</v>
      </c>
      <c r="C203">
        <v>50212073</v>
      </c>
      <c r="D203">
        <v>45975157</v>
      </c>
      <c r="E203">
        <v>1</v>
      </c>
      <c r="F203">
        <v>1</v>
      </c>
      <c r="G203">
        <v>1</v>
      </c>
      <c r="H203">
        <v>1</v>
      </c>
      <c r="I203" t="s">
        <v>608</v>
      </c>
      <c r="J203" t="s">
        <v>3</v>
      </c>
      <c r="K203" t="s">
        <v>609</v>
      </c>
      <c r="L203">
        <v>1476</v>
      </c>
      <c r="N203">
        <v>1013</v>
      </c>
      <c r="O203" t="s">
        <v>447</v>
      </c>
      <c r="P203" t="s">
        <v>448</v>
      </c>
      <c r="Q203">
        <v>1</v>
      </c>
      <c r="X203">
        <v>12.64</v>
      </c>
      <c r="Y203">
        <v>0</v>
      </c>
      <c r="Z203">
        <v>0</v>
      </c>
      <c r="AA203">
        <v>0</v>
      </c>
      <c r="AB203">
        <v>7.21</v>
      </c>
      <c r="AC203">
        <v>0</v>
      </c>
      <c r="AD203">
        <v>1</v>
      </c>
      <c r="AE203">
        <v>1</v>
      </c>
      <c r="AF203" t="s">
        <v>12</v>
      </c>
      <c r="AG203">
        <v>14.536</v>
      </c>
      <c r="AH203">
        <v>2</v>
      </c>
      <c r="AI203">
        <v>50212074</v>
      </c>
      <c r="AJ203">
        <v>207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ROW(Source!A416)</f>
        <v>416</v>
      </c>
      <c r="B204">
        <v>50212081</v>
      </c>
      <c r="C204">
        <v>50212073</v>
      </c>
      <c r="D204">
        <v>121548</v>
      </c>
      <c r="E204">
        <v>1</v>
      </c>
      <c r="F204">
        <v>1</v>
      </c>
      <c r="G204">
        <v>1</v>
      </c>
      <c r="H204">
        <v>1</v>
      </c>
      <c r="I204" t="s">
        <v>25</v>
      </c>
      <c r="J204" t="s">
        <v>3</v>
      </c>
      <c r="K204" t="s">
        <v>463</v>
      </c>
      <c r="L204">
        <v>608254</v>
      </c>
      <c r="N204">
        <v>1013</v>
      </c>
      <c r="O204" t="s">
        <v>464</v>
      </c>
      <c r="P204" t="s">
        <v>464</v>
      </c>
      <c r="Q204">
        <v>1</v>
      </c>
      <c r="X204">
        <v>0.16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2</v>
      </c>
      <c r="AF204" t="s">
        <v>11</v>
      </c>
      <c r="AG204">
        <v>0.2</v>
      </c>
      <c r="AH204">
        <v>2</v>
      </c>
      <c r="AI204">
        <v>50212075</v>
      </c>
      <c r="AJ204">
        <v>208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ROW(Source!A416)</f>
        <v>416</v>
      </c>
      <c r="B205">
        <v>50212082</v>
      </c>
      <c r="C205">
        <v>50212073</v>
      </c>
      <c r="D205">
        <v>45811353</v>
      </c>
      <c r="E205">
        <v>1</v>
      </c>
      <c r="F205">
        <v>1</v>
      </c>
      <c r="G205">
        <v>1</v>
      </c>
      <c r="H205">
        <v>2</v>
      </c>
      <c r="I205" t="s">
        <v>517</v>
      </c>
      <c r="J205" t="s">
        <v>518</v>
      </c>
      <c r="K205" t="s">
        <v>519</v>
      </c>
      <c r="L205">
        <v>45811227</v>
      </c>
      <c r="N205">
        <v>1013</v>
      </c>
      <c r="O205" t="s">
        <v>452</v>
      </c>
      <c r="P205" t="s">
        <v>452</v>
      </c>
      <c r="Q205">
        <v>1</v>
      </c>
      <c r="X205">
        <v>0.16</v>
      </c>
      <c r="Y205">
        <v>0</v>
      </c>
      <c r="Z205">
        <v>111.75</v>
      </c>
      <c r="AA205">
        <v>13.26</v>
      </c>
      <c r="AB205">
        <v>0</v>
      </c>
      <c r="AC205">
        <v>0</v>
      </c>
      <c r="AD205">
        <v>1</v>
      </c>
      <c r="AE205">
        <v>0</v>
      </c>
      <c r="AF205" t="s">
        <v>11</v>
      </c>
      <c r="AG205">
        <v>0.2</v>
      </c>
      <c r="AH205">
        <v>2</v>
      </c>
      <c r="AI205">
        <v>50212076</v>
      </c>
      <c r="AJ205">
        <v>209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ROW(Source!A416)</f>
        <v>416</v>
      </c>
      <c r="B206">
        <v>50212083</v>
      </c>
      <c r="C206">
        <v>50212073</v>
      </c>
      <c r="D206">
        <v>45813321</v>
      </c>
      <c r="E206">
        <v>1</v>
      </c>
      <c r="F206">
        <v>1</v>
      </c>
      <c r="G206">
        <v>1</v>
      </c>
      <c r="H206">
        <v>2</v>
      </c>
      <c r="I206" t="s">
        <v>532</v>
      </c>
      <c r="J206" t="s">
        <v>533</v>
      </c>
      <c r="K206" t="s">
        <v>534</v>
      </c>
      <c r="L206">
        <v>45811227</v>
      </c>
      <c r="N206">
        <v>1013</v>
      </c>
      <c r="O206" t="s">
        <v>452</v>
      </c>
      <c r="P206" t="s">
        <v>452</v>
      </c>
      <c r="Q206">
        <v>1</v>
      </c>
      <c r="X206">
        <v>0.22</v>
      </c>
      <c r="Y206">
        <v>0</v>
      </c>
      <c r="Z206">
        <v>86.55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11</v>
      </c>
      <c r="AG206">
        <v>0.27500000000000002</v>
      </c>
      <c r="AH206">
        <v>2</v>
      </c>
      <c r="AI206">
        <v>50212077</v>
      </c>
      <c r="AJ206">
        <v>210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ROW(Source!A416)</f>
        <v>416</v>
      </c>
      <c r="B207">
        <v>50212084</v>
      </c>
      <c r="C207">
        <v>50212073</v>
      </c>
      <c r="D207">
        <v>45815236</v>
      </c>
      <c r="E207">
        <v>1</v>
      </c>
      <c r="F207">
        <v>1</v>
      </c>
      <c r="G207">
        <v>1</v>
      </c>
      <c r="H207">
        <v>3</v>
      </c>
      <c r="I207" t="s">
        <v>610</v>
      </c>
      <c r="J207" t="s">
        <v>611</v>
      </c>
      <c r="K207" t="s">
        <v>612</v>
      </c>
      <c r="L207">
        <v>1348</v>
      </c>
      <c r="N207">
        <v>1009</v>
      </c>
      <c r="O207" t="s">
        <v>190</v>
      </c>
      <c r="P207" t="s">
        <v>190</v>
      </c>
      <c r="Q207">
        <v>1000</v>
      </c>
      <c r="X207">
        <v>2.8000000000000001E-2</v>
      </c>
      <c r="Y207">
        <v>9240.19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2.8000000000000001E-2</v>
      </c>
      <c r="AH207">
        <v>2</v>
      </c>
      <c r="AI207">
        <v>50212078</v>
      </c>
      <c r="AJ207">
        <v>211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ROW(Source!A416)</f>
        <v>416</v>
      </c>
      <c r="B208">
        <v>50212085</v>
      </c>
      <c r="C208">
        <v>50212073</v>
      </c>
      <c r="D208">
        <v>45839610</v>
      </c>
      <c r="E208">
        <v>1</v>
      </c>
      <c r="F208">
        <v>1</v>
      </c>
      <c r="G208">
        <v>1</v>
      </c>
      <c r="H208">
        <v>3</v>
      </c>
      <c r="I208" t="s">
        <v>613</v>
      </c>
      <c r="J208" t="s">
        <v>614</v>
      </c>
      <c r="K208" t="s">
        <v>615</v>
      </c>
      <c r="L208">
        <v>1348</v>
      </c>
      <c r="N208">
        <v>1009</v>
      </c>
      <c r="O208" t="s">
        <v>190</v>
      </c>
      <c r="P208" t="s">
        <v>190</v>
      </c>
      <c r="Q208">
        <v>1000</v>
      </c>
      <c r="X208">
        <v>1</v>
      </c>
      <c r="Y208">
        <v>5272.44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1</v>
      </c>
      <c r="AH208">
        <v>2</v>
      </c>
      <c r="AI208">
        <v>50212079</v>
      </c>
      <c r="AJ208">
        <v>212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ROW(Source!A417)</f>
        <v>417</v>
      </c>
      <c r="B209">
        <v>50212095</v>
      </c>
      <c r="C209">
        <v>50212086</v>
      </c>
      <c r="D209">
        <v>45968655</v>
      </c>
      <c r="E209">
        <v>1</v>
      </c>
      <c r="F209">
        <v>1</v>
      </c>
      <c r="G209">
        <v>1</v>
      </c>
      <c r="H209">
        <v>1</v>
      </c>
      <c r="I209" t="s">
        <v>455</v>
      </c>
      <c r="J209" t="s">
        <v>3</v>
      </c>
      <c r="K209" t="s">
        <v>456</v>
      </c>
      <c r="L209">
        <v>1476</v>
      </c>
      <c r="N209">
        <v>1013</v>
      </c>
      <c r="O209" t="s">
        <v>447</v>
      </c>
      <c r="P209" t="s">
        <v>448</v>
      </c>
      <c r="Q209">
        <v>1</v>
      </c>
      <c r="X209">
        <v>44.05</v>
      </c>
      <c r="Y209">
        <v>0</v>
      </c>
      <c r="Z209">
        <v>0</v>
      </c>
      <c r="AA209">
        <v>0</v>
      </c>
      <c r="AB209">
        <v>6.94</v>
      </c>
      <c r="AC209">
        <v>0</v>
      </c>
      <c r="AD209">
        <v>1</v>
      </c>
      <c r="AE209">
        <v>1</v>
      </c>
      <c r="AF209" t="s">
        <v>12</v>
      </c>
      <c r="AG209">
        <v>50.657499999999992</v>
      </c>
      <c r="AH209">
        <v>2</v>
      </c>
      <c r="AI209">
        <v>50212087</v>
      </c>
      <c r="AJ209">
        <v>213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ROW(Source!A417)</f>
        <v>417</v>
      </c>
      <c r="B210">
        <v>50212096</v>
      </c>
      <c r="C210">
        <v>50212086</v>
      </c>
      <c r="D210">
        <v>121548</v>
      </c>
      <c r="E210">
        <v>1</v>
      </c>
      <c r="F210">
        <v>1</v>
      </c>
      <c r="G210">
        <v>1</v>
      </c>
      <c r="H210">
        <v>1</v>
      </c>
      <c r="I210" t="s">
        <v>25</v>
      </c>
      <c r="J210" t="s">
        <v>3</v>
      </c>
      <c r="K210" t="s">
        <v>463</v>
      </c>
      <c r="L210">
        <v>608254</v>
      </c>
      <c r="N210">
        <v>1013</v>
      </c>
      <c r="O210" t="s">
        <v>464</v>
      </c>
      <c r="P210" t="s">
        <v>464</v>
      </c>
      <c r="Q210">
        <v>1</v>
      </c>
      <c r="X210">
        <v>28.2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2</v>
      </c>
      <c r="AF210" t="s">
        <v>11</v>
      </c>
      <c r="AG210">
        <v>35.25</v>
      </c>
      <c r="AH210">
        <v>2</v>
      </c>
      <c r="AI210">
        <v>50212088</v>
      </c>
      <c r="AJ210">
        <v>214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ROW(Source!A417)</f>
        <v>417</v>
      </c>
      <c r="B211">
        <v>50212097</v>
      </c>
      <c r="C211">
        <v>50212086</v>
      </c>
      <c r="D211">
        <v>45811539</v>
      </c>
      <c r="E211">
        <v>1</v>
      </c>
      <c r="F211">
        <v>1</v>
      </c>
      <c r="G211">
        <v>1</v>
      </c>
      <c r="H211">
        <v>2</v>
      </c>
      <c r="I211" t="s">
        <v>616</v>
      </c>
      <c r="J211" t="s">
        <v>617</v>
      </c>
      <c r="K211" t="s">
        <v>618</v>
      </c>
      <c r="L211">
        <v>45811227</v>
      </c>
      <c r="N211">
        <v>1013</v>
      </c>
      <c r="O211" t="s">
        <v>452</v>
      </c>
      <c r="P211" t="s">
        <v>452</v>
      </c>
      <c r="Q211">
        <v>1</v>
      </c>
      <c r="X211">
        <v>28.2</v>
      </c>
      <c r="Y211">
        <v>0</v>
      </c>
      <c r="Z211">
        <v>22.07</v>
      </c>
      <c r="AA211">
        <v>11.38</v>
      </c>
      <c r="AB211">
        <v>0</v>
      </c>
      <c r="AC211">
        <v>0</v>
      </c>
      <c r="AD211">
        <v>1</v>
      </c>
      <c r="AE211">
        <v>0</v>
      </c>
      <c r="AF211" t="s">
        <v>11</v>
      </c>
      <c r="AG211">
        <v>35.25</v>
      </c>
      <c r="AH211">
        <v>2</v>
      </c>
      <c r="AI211">
        <v>50212089</v>
      </c>
      <c r="AJ211">
        <v>215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ROW(Source!A417)</f>
        <v>417</v>
      </c>
      <c r="B212">
        <v>50212098</v>
      </c>
      <c r="C212">
        <v>50212086</v>
      </c>
      <c r="D212">
        <v>45813045</v>
      </c>
      <c r="E212">
        <v>1</v>
      </c>
      <c r="F212">
        <v>1</v>
      </c>
      <c r="G212">
        <v>1</v>
      </c>
      <c r="H212">
        <v>2</v>
      </c>
      <c r="I212" t="s">
        <v>619</v>
      </c>
      <c r="J212" t="s">
        <v>620</v>
      </c>
      <c r="K212" t="s">
        <v>621</v>
      </c>
      <c r="L212">
        <v>45811227</v>
      </c>
      <c r="N212">
        <v>1013</v>
      </c>
      <c r="O212" t="s">
        <v>452</v>
      </c>
      <c r="P212" t="s">
        <v>452</v>
      </c>
      <c r="Q212">
        <v>1</v>
      </c>
      <c r="X212">
        <v>15.83</v>
      </c>
      <c r="Y212">
        <v>0</v>
      </c>
      <c r="Z212">
        <v>26.26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11</v>
      </c>
      <c r="AG212">
        <v>19.787500000000001</v>
      </c>
      <c r="AH212">
        <v>2</v>
      </c>
      <c r="AI212">
        <v>50212090</v>
      </c>
      <c r="AJ212">
        <v>216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ROW(Source!A417)</f>
        <v>417</v>
      </c>
      <c r="B213">
        <v>50212099</v>
      </c>
      <c r="C213">
        <v>50212086</v>
      </c>
      <c r="D213">
        <v>45813122</v>
      </c>
      <c r="E213">
        <v>1</v>
      </c>
      <c r="F213">
        <v>1</v>
      </c>
      <c r="G213">
        <v>1</v>
      </c>
      <c r="H213">
        <v>2</v>
      </c>
      <c r="I213" t="s">
        <v>622</v>
      </c>
      <c r="J213" t="s">
        <v>623</v>
      </c>
      <c r="K213" t="s">
        <v>624</v>
      </c>
      <c r="L213">
        <v>45811227</v>
      </c>
      <c r="N213">
        <v>1013</v>
      </c>
      <c r="O213" t="s">
        <v>452</v>
      </c>
      <c r="P213" t="s">
        <v>452</v>
      </c>
      <c r="Q213">
        <v>1</v>
      </c>
      <c r="X213">
        <v>12.4</v>
      </c>
      <c r="Y213">
        <v>0</v>
      </c>
      <c r="Z213">
        <v>1.05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11</v>
      </c>
      <c r="AG213">
        <v>15.5</v>
      </c>
      <c r="AH213">
        <v>2</v>
      </c>
      <c r="AI213">
        <v>50212091</v>
      </c>
      <c r="AJ213">
        <v>217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ROW(Source!A417)</f>
        <v>417</v>
      </c>
      <c r="B214">
        <v>50212100</v>
      </c>
      <c r="C214">
        <v>50212086</v>
      </c>
      <c r="D214">
        <v>45813321</v>
      </c>
      <c r="E214">
        <v>1</v>
      </c>
      <c r="F214">
        <v>1</v>
      </c>
      <c r="G214">
        <v>1</v>
      </c>
      <c r="H214">
        <v>2</v>
      </c>
      <c r="I214" t="s">
        <v>532</v>
      </c>
      <c r="J214" t="s">
        <v>533</v>
      </c>
      <c r="K214" t="s">
        <v>534</v>
      </c>
      <c r="L214">
        <v>45811227</v>
      </c>
      <c r="N214">
        <v>1013</v>
      </c>
      <c r="O214" t="s">
        <v>452</v>
      </c>
      <c r="P214" t="s">
        <v>452</v>
      </c>
      <c r="Q214">
        <v>1</v>
      </c>
      <c r="X214">
        <v>1.58</v>
      </c>
      <c r="Y214">
        <v>0</v>
      </c>
      <c r="Z214">
        <v>86.55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11</v>
      </c>
      <c r="AG214">
        <v>1.9750000000000001</v>
      </c>
      <c r="AH214">
        <v>2</v>
      </c>
      <c r="AI214">
        <v>50212092</v>
      </c>
      <c r="AJ214">
        <v>218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ROW(Source!A417)</f>
        <v>417</v>
      </c>
      <c r="B215">
        <v>50212101</v>
      </c>
      <c r="C215">
        <v>50212086</v>
      </c>
      <c r="D215">
        <v>45823018</v>
      </c>
      <c r="E215">
        <v>1</v>
      </c>
      <c r="F215">
        <v>1</v>
      </c>
      <c r="G215">
        <v>1</v>
      </c>
      <c r="H215">
        <v>3</v>
      </c>
      <c r="I215" t="s">
        <v>660</v>
      </c>
      <c r="J215" t="s">
        <v>661</v>
      </c>
      <c r="K215" t="s">
        <v>344</v>
      </c>
      <c r="L215">
        <v>1348</v>
      </c>
      <c r="N215">
        <v>1009</v>
      </c>
      <c r="O215" t="s">
        <v>190</v>
      </c>
      <c r="P215" t="s">
        <v>190</v>
      </c>
      <c r="Q215">
        <v>1000</v>
      </c>
      <c r="X215">
        <v>0.03</v>
      </c>
      <c r="Y215">
        <v>0</v>
      </c>
      <c r="Z215">
        <v>0</v>
      </c>
      <c r="AA215">
        <v>0</v>
      </c>
      <c r="AB215">
        <v>0</v>
      </c>
      <c r="AC215">
        <v>1</v>
      </c>
      <c r="AD215">
        <v>0</v>
      </c>
      <c r="AE215">
        <v>0</v>
      </c>
      <c r="AF215" t="s">
        <v>3</v>
      </c>
      <c r="AG215">
        <v>0.03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ROW(Source!A417)</f>
        <v>417</v>
      </c>
      <c r="B216">
        <v>50212102</v>
      </c>
      <c r="C216">
        <v>50212086</v>
      </c>
      <c r="D216">
        <v>45837944</v>
      </c>
      <c r="E216">
        <v>1</v>
      </c>
      <c r="F216">
        <v>1</v>
      </c>
      <c r="G216">
        <v>1</v>
      </c>
      <c r="H216">
        <v>3</v>
      </c>
      <c r="I216" t="s">
        <v>662</v>
      </c>
      <c r="J216" t="s">
        <v>663</v>
      </c>
      <c r="K216" t="s">
        <v>664</v>
      </c>
      <c r="L216">
        <v>1354</v>
      </c>
      <c r="N216">
        <v>1010</v>
      </c>
      <c r="O216" t="s">
        <v>220</v>
      </c>
      <c r="P216" t="s">
        <v>220</v>
      </c>
      <c r="Q216">
        <v>1</v>
      </c>
      <c r="X216">
        <v>100</v>
      </c>
      <c r="Y216">
        <v>0</v>
      </c>
      <c r="Z216">
        <v>0</v>
      </c>
      <c r="AA216">
        <v>0</v>
      </c>
      <c r="AB216">
        <v>0</v>
      </c>
      <c r="AC216">
        <v>1</v>
      </c>
      <c r="AD216">
        <v>0</v>
      </c>
      <c r="AE216">
        <v>0</v>
      </c>
      <c r="AF216" t="s">
        <v>3</v>
      </c>
      <c r="AG216">
        <v>100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ROW(Source!A420)</f>
        <v>420</v>
      </c>
      <c r="B217">
        <v>50212114</v>
      </c>
      <c r="C217">
        <v>50212105</v>
      </c>
      <c r="D217">
        <v>45968655</v>
      </c>
      <c r="E217">
        <v>1</v>
      </c>
      <c r="F217">
        <v>1</v>
      </c>
      <c r="G217">
        <v>1</v>
      </c>
      <c r="H217">
        <v>1</v>
      </c>
      <c r="I217" t="s">
        <v>455</v>
      </c>
      <c r="J217" t="s">
        <v>3</v>
      </c>
      <c r="K217" t="s">
        <v>456</v>
      </c>
      <c r="L217">
        <v>1476</v>
      </c>
      <c r="N217">
        <v>1013</v>
      </c>
      <c r="O217" t="s">
        <v>447</v>
      </c>
      <c r="P217" t="s">
        <v>448</v>
      </c>
      <c r="Q217">
        <v>1</v>
      </c>
      <c r="X217">
        <v>7.11</v>
      </c>
      <c r="Y217">
        <v>0</v>
      </c>
      <c r="Z217">
        <v>0</v>
      </c>
      <c r="AA217">
        <v>0</v>
      </c>
      <c r="AB217">
        <v>6.94</v>
      </c>
      <c r="AC217">
        <v>0</v>
      </c>
      <c r="AD217">
        <v>1</v>
      </c>
      <c r="AE217">
        <v>1</v>
      </c>
      <c r="AF217" t="s">
        <v>62</v>
      </c>
      <c r="AG217">
        <v>8.176499999999999</v>
      </c>
      <c r="AH217">
        <v>2</v>
      </c>
      <c r="AI217">
        <v>50212106</v>
      </c>
      <c r="AJ217">
        <v>221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ROW(Source!A420)</f>
        <v>420</v>
      </c>
      <c r="B218">
        <v>50212115</v>
      </c>
      <c r="C218">
        <v>50212105</v>
      </c>
      <c r="D218">
        <v>121548</v>
      </c>
      <c r="E218">
        <v>1</v>
      </c>
      <c r="F218">
        <v>1</v>
      </c>
      <c r="G218">
        <v>1</v>
      </c>
      <c r="H218">
        <v>1</v>
      </c>
      <c r="I218" t="s">
        <v>25</v>
      </c>
      <c r="J218" t="s">
        <v>3</v>
      </c>
      <c r="K218" t="s">
        <v>463</v>
      </c>
      <c r="L218">
        <v>608254</v>
      </c>
      <c r="N218">
        <v>1013</v>
      </c>
      <c r="O218" t="s">
        <v>464</v>
      </c>
      <c r="P218" t="s">
        <v>464</v>
      </c>
      <c r="Q218">
        <v>1</v>
      </c>
      <c r="X218">
        <v>0.56999999999999995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2</v>
      </c>
      <c r="AF218" t="s">
        <v>61</v>
      </c>
      <c r="AG218">
        <v>0.71249999999999991</v>
      </c>
      <c r="AH218">
        <v>2</v>
      </c>
      <c r="AI218">
        <v>50212107</v>
      </c>
      <c r="AJ218">
        <v>222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ROW(Source!A420)</f>
        <v>420</v>
      </c>
      <c r="B219">
        <v>50212116</v>
      </c>
      <c r="C219">
        <v>50212105</v>
      </c>
      <c r="D219">
        <v>45811539</v>
      </c>
      <c r="E219">
        <v>1</v>
      </c>
      <c r="F219">
        <v>1</v>
      </c>
      <c r="G219">
        <v>1</v>
      </c>
      <c r="H219">
        <v>2</v>
      </c>
      <c r="I219" t="s">
        <v>616</v>
      </c>
      <c r="J219" t="s">
        <v>617</v>
      </c>
      <c r="K219" t="s">
        <v>618</v>
      </c>
      <c r="L219">
        <v>45811227</v>
      </c>
      <c r="N219">
        <v>1013</v>
      </c>
      <c r="O219" t="s">
        <v>452</v>
      </c>
      <c r="P219" t="s">
        <v>452</v>
      </c>
      <c r="Q219">
        <v>1</v>
      </c>
      <c r="X219">
        <v>0.56999999999999995</v>
      </c>
      <c r="Y219">
        <v>0</v>
      </c>
      <c r="Z219">
        <v>22.07</v>
      </c>
      <c r="AA219">
        <v>11.38</v>
      </c>
      <c r="AB219">
        <v>0</v>
      </c>
      <c r="AC219">
        <v>0</v>
      </c>
      <c r="AD219">
        <v>1</v>
      </c>
      <c r="AE219">
        <v>0</v>
      </c>
      <c r="AF219" t="s">
        <v>61</v>
      </c>
      <c r="AG219">
        <v>0.71249999999999991</v>
      </c>
      <c r="AH219">
        <v>2</v>
      </c>
      <c r="AI219">
        <v>50212108</v>
      </c>
      <c r="AJ219">
        <v>223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ROW(Source!A420)</f>
        <v>420</v>
      </c>
      <c r="B220">
        <v>50212117</v>
      </c>
      <c r="C220">
        <v>50212105</v>
      </c>
      <c r="D220">
        <v>45813122</v>
      </c>
      <c r="E220">
        <v>1</v>
      </c>
      <c r="F220">
        <v>1</v>
      </c>
      <c r="G220">
        <v>1</v>
      </c>
      <c r="H220">
        <v>2</v>
      </c>
      <c r="I220" t="s">
        <v>622</v>
      </c>
      <c r="J220" t="s">
        <v>623</v>
      </c>
      <c r="K220" t="s">
        <v>624</v>
      </c>
      <c r="L220">
        <v>45811227</v>
      </c>
      <c r="N220">
        <v>1013</v>
      </c>
      <c r="O220" t="s">
        <v>452</v>
      </c>
      <c r="P220" t="s">
        <v>452</v>
      </c>
      <c r="Q220">
        <v>1</v>
      </c>
      <c r="X220">
        <v>0.56999999999999995</v>
      </c>
      <c r="Y220">
        <v>0</v>
      </c>
      <c r="Z220">
        <v>1.05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61</v>
      </c>
      <c r="AG220">
        <v>0.71249999999999991</v>
      </c>
      <c r="AH220">
        <v>2</v>
      </c>
      <c r="AI220">
        <v>50212109</v>
      </c>
      <c r="AJ220">
        <v>224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ROW(Source!A420)</f>
        <v>420</v>
      </c>
      <c r="B221">
        <v>50212118</v>
      </c>
      <c r="C221">
        <v>50212105</v>
      </c>
      <c r="D221">
        <v>45813321</v>
      </c>
      <c r="E221">
        <v>1</v>
      </c>
      <c r="F221">
        <v>1</v>
      </c>
      <c r="G221">
        <v>1</v>
      </c>
      <c r="H221">
        <v>2</v>
      </c>
      <c r="I221" t="s">
        <v>532</v>
      </c>
      <c r="J221" t="s">
        <v>533</v>
      </c>
      <c r="K221" t="s">
        <v>534</v>
      </c>
      <c r="L221">
        <v>45811227</v>
      </c>
      <c r="N221">
        <v>1013</v>
      </c>
      <c r="O221" t="s">
        <v>452</v>
      </c>
      <c r="P221" t="s">
        <v>452</v>
      </c>
      <c r="Q221">
        <v>1</v>
      </c>
      <c r="X221">
        <v>0.11</v>
      </c>
      <c r="Y221">
        <v>0</v>
      </c>
      <c r="Z221">
        <v>86.55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61</v>
      </c>
      <c r="AG221">
        <v>0.13750000000000001</v>
      </c>
      <c r="AH221">
        <v>2</v>
      </c>
      <c r="AI221">
        <v>50212110</v>
      </c>
      <c r="AJ221">
        <v>225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ROW(Source!A420)</f>
        <v>420</v>
      </c>
      <c r="B222">
        <v>50212119</v>
      </c>
      <c r="C222">
        <v>50212105</v>
      </c>
      <c r="D222">
        <v>45822952</v>
      </c>
      <c r="E222">
        <v>1</v>
      </c>
      <c r="F222">
        <v>1</v>
      </c>
      <c r="G222">
        <v>1</v>
      </c>
      <c r="H222">
        <v>3</v>
      </c>
      <c r="I222" t="s">
        <v>665</v>
      </c>
      <c r="J222" t="s">
        <v>666</v>
      </c>
      <c r="K222" t="s">
        <v>667</v>
      </c>
      <c r="L222">
        <v>1035</v>
      </c>
      <c r="N222">
        <v>1013</v>
      </c>
      <c r="O222" t="s">
        <v>668</v>
      </c>
      <c r="P222" t="s">
        <v>668</v>
      </c>
      <c r="Q222">
        <v>1</v>
      </c>
      <c r="X222">
        <v>120</v>
      </c>
      <c r="Y222">
        <v>0</v>
      </c>
      <c r="Z222">
        <v>0</v>
      </c>
      <c r="AA222">
        <v>0</v>
      </c>
      <c r="AB222">
        <v>0</v>
      </c>
      <c r="AC222">
        <v>1</v>
      </c>
      <c r="AD222">
        <v>0</v>
      </c>
      <c r="AE222">
        <v>0</v>
      </c>
      <c r="AF222" t="s">
        <v>3</v>
      </c>
      <c r="AG222">
        <v>120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ROW(Source!A420)</f>
        <v>420</v>
      </c>
      <c r="B223">
        <v>50212120</v>
      </c>
      <c r="C223">
        <v>50212105</v>
      </c>
      <c r="D223">
        <v>45837934</v>
      </c>
      <c r="E223">
        <v>1</v>
      </c>
      <c r="F223">
        <v>1</v>
      </c>
      <c r="G223">
        <v>1</v>
      </c>
      <c r="H223">
        <v>3</v>
      </c>
      <c r="I223" t="s">
        <v>669</v>
      </c>
      <c r="J223" t="s">
        <v>670</v>
      </c>
      <c r="K223" t="s">
        <v>671</v>
      </c>
      <c r="L223">
        <v>1354</v>
      </c>
      <c r="N223">
        <v>1010</v>
      </c>
      <c r="O223" t="s">
        <v>220</v>
      </c>
      <c r="P223" t="s">
        <v>220</v>
      </c>
      <c r="Q223">
        <v>1</v>
      </c>
      <c r="X223">
        <v>10</v>
      </c>
      <c r="Y223">
        <v>0</v>
      </c>
      <c r="Z223">
        <v>0</v>
      </c>
      <c r="AA223">
        <v>0</v>
      </c>
      <c r="AB223">
        <v>0</v>
      </c>
      <c r="AC223">
        <v>1</v>
      </c>
      <c r="AD223">
        <v>0</v>
      </c>
      <c r="AE223">
        <v>0</v>
      </c>
      <c r="AF223" t="s">
        <v>3</v>
      </c>
      <c r="AG223">
        <v>10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ROW(Source!A424)</f>
        <v>424</v>
      </c>
      <c r="B224">
        <v>50212133</v>
      </c>
      <c r="C224">
        <v>50212124</v>
      </c>
      <c r="D224">
        <v>45982582</v>
      </c>
      <c r="E224">
        <v>1</v>
      </c>
      <c r="F224">
        <v>1</v>
      </c>
      <c r="G224">
        <v>1</v>
      </c>
      <c r="H224">
        <v>1</v>
      </c>
      <c r="I224" t="s">
        <v>625</v>
      </c>
      <c r="J224" t="s">
        <v>3</v>
      </c>
      <c r="K224" t="s">
        <v>626</v>
      </c>
      <c r="L224">
        <v>1476</v>
      </c>
      <c r="N224">
        <v>1013</v>
      </c>
      <c r="O224" t="s">
        <v>447</v>
      </c>
      <c r="P224" t="s">
        <v>448</v>
      </c>
      <c r="Q224">
        <v>1</v>
      </c>
      <c r="X224">
        <v>5.31</v>
      </c>
      <c r="Y224">
        <v>0</v>
      </c>
      <c r="Z224">
        <v>0</v>
      </c>
      <c r="AA224">
        <v>0</v>
      </c>
      <c r="AB224">
        <v>8.66</v>
      </c>
      <c r="AC224">
        <v>0</v>
      </c>
      <c r="AD224">
        <v>1</v>
      </c>
      <c r="AE224">
        <v>1</v>
      </c>
      <c r="AF224" t="s">
        <v>12</v>
      </c>
      <c r="AG224">
        <v>6.1064999999999987</v>
      </c>
      <c r="AH224">
        <v>2</v>
      </c>
      <c r="AI224">
        <v>50212125</v>
      </c>
      <c r="AJ224">
        <v>229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ROW(Source!A424)</f>
        <v>424</v>
      </c>
      <c r="B225">
        <v>50212134</v>
      </c>
      <c r="C225">
        <v>50212124</v>
      </c>
      <c r="D225">
        <v>121548</v>
      </c>
      <c r="E225">
        <v>1</v>
      </c>
      <c r="F225">
        <v>1</v>
      </c>
      <c r="G225">
        <v>1</v>
      </c>
      <c r="H225">
        <v>1</v>
      </c>
      <c r="I225" t="s">
        <v>25</v>
      </c>
      <c r="J225" t="s">
        <v>3</v>
      </c>
      <c r="K225" t="s">
        <v>463</v>
      </c>
      <c r="L225">
        <v>608254</v>
      </c>
      <c r="N225">
        <v>1013</v>
      </c>
      <c r="O225" t="s">
        <v>464</v>
      </c>
      <c r="P225" t="s">
        <v>464</v>
      </c>
      <c r="Q225">
        <v>1</v>
      </c>
      <c r="X225">
        <v>0.01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2</v>
      </c>
      <c r="AF225" t="s">
        <v>11</v>
      </c>
      <c r="AG225">
        <v>1.2500000000000001E-2</v>
      </c>
      <c r="AH225">
        <v>2</v>
      </c>
      <c r="AI225">
        <v>50212126</v>
      </c>
      <c r="AJ225">
        <v>230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ROW(Source!A424)</f>
        <v>424</v>
      </c>
      <c r="B226">
        <v>50212135</v>
      </c>
      <c r="C226">
        <v>50212124</v>
      </c>
      <c r="D226">
        <v>45811426</v>
      </c>
      <c r="E226">
        <v>1</v>
      </c>
      <c r="F226">
        <v>1</v>
      </c>
      <c r="G226">
        <v>1</v>
      </c>
      <c r="H226">
        <v>2</v>
      </c>
      <c r="I226" t="s">
        <v>498</v>
      </c>
      <c r="J226" t="s">
        <v>499</v>
      </c>
      <c r="K226" t="s">
        <v>500</v>
      </c>
      <c r="L226">
        <v>45811227</v>
      </c>
      <c r="N226">
        <v>1013</v>
      </c>
      <c r="O226" t="s">
        <v>452</v>
      </c>
      <c r="P226" t="s">
        <v>452</v>
      </c>
      <c r="Q226">
        <v>1</v>
      </c>
      <c r="X226">
        <v>0.01</v>
      </c>
      <c r="Y226">
        <v>0</v>
      </c>
      <c r="Z226">
        <v>89.81</v>
      </c>
      <c r="AA226">
        <v>9.8800000000000008</v>
      </c>
      <c r="AB226">
        <v>0</v>
      </c>
      <c r="AC226">
        <v>0</v>
      </c>
      <c r="AD226">
        <v>1</v>
      </c>
      <c r="AE226">
        <v>0</v>
      </c>
      <c r="AF226" t="s">
        <v>11</v>
      </c>
      <c r="AG226">
        <v>1.2500000000000001E-2</v>
      </c>
      <c r="AH226">
        <v>2</v>
      </c>
      <c r="AI226">
        <v>50212127</v>
      </c>
      <c r="AJ226">
        <v>231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ROW(Source!A424)</f>
        <v>424</v>
      </c>
      <c r="B227">
        <v>50212136</v>
      </c>
      <c r="C227">
        <v>50212124</v>
      </c>
      <c r="D227">
        <v>45811450</v>
      </c>
      <c r="E227">
        <v>1</v>
      </c>
      <c r="F227">
        <v>1</v>
      </c>
      <c r="G227">
        <v>1</v>
      </c>
      <c r="H227">
        <v>2</v>
      </c>
      <c r="I227" t="s">
        <v>627</v>
      </c>
      <c r="J227" t="s">
        <v>628</v>
      </c>
      <c r="K227" t="s">
        <v>629</v>
      </c>
      <c r="L227">
        <v>45811227</v>
      </c>
      <c r="N227">
        <v>1013</v>
      </c>
      <c r="O227" t="s">
        <v>452</v>
      </c>
      <c r="P227" t="s">
        <v>452</v>
      </c>
      <c r="Q227">
        <v>1</v>
      </c>
      <c r="X227">
        <v>0.01</v>
      </c>
      <c r="Y227">
        <v>0</v>
      </c>
      <c r="Z227">
        <v>1.7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11</v>
      </c>
      <c r="AG227">
        <v>1.2500000000000001E-2</v>
      </c>
      <c r="AH227">
        <v>2</v>
      </c>
      <c r="AI227">
        <v>50212128</v>
      </c>
      <c r="AJ227">
        <v>232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ROW(Source!A424)</f>
        <v>424</v>
      </c>
      <c r="B228">
        <v>50212137</v>
      </c>
      <c r="C228">
        <v>50212124</v>
      </c>
      <c r="D228">
        <v>45813107</v>
      </c>
      <c r="E228">
        <v>1</v>
      </c>
      <c r="F228">
        <v>1</v>
      </c>
      <c r="G228">
        <v>1</v>
      </c>
      <c r="H228">
        <v>2</v>
      </c>
      <c r="I228" t="s">
        <v>630</v>
      </c>
      <c r="J228" t="s">
        <v>631</v>
      </c>
      <c r="K228" t="s">
        <v>632</v>
      </c>
      <c r="L228">
        <v>45811227</v>
      </c>
      <c r="N228">
        <v>1013</v>
      </c>
      <c r="O228" t="s">
        <v>452</v>
      </c>
      <c r="P228" t="s">
        <v>452</v>
      </c>
      <c r="Q228">
        <v>1</v>
      </c>
      <c r="X228">
        <v>1.1200000000000001</v>
      </c>
      <c r="Y228">
        <v>0</v>
      </c>
      <c r="Z228">
        <v>6.82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11</v>
      </c>
      <c r="AG228">
        <v>1.4000000000000001</v>
      </c>
      <c r="AH228">
        <v>2</v>
      </c>
      <c r="AI228">
        <v>50212129</v>
      </c>
      <c r="AJ228">
        <v>233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ROW(Source!A424)</f>
        <v>424</v>
      </c>
      <c r="B229">
        <v>50212138</v>
      </c>
      <c r="C229">
        <v>50212124</v>
      </c>
      <c r="D229">
        <v>45813321</v>
      </c>
      <c r="E229">
        <v>1</v>
      </c>
      <c r="F229">
        <v>1</v>
      </c>
      <c r="G229">
        <v>1</v>
      </c>
      <c r="H229">
        <v>2</v>
      </c>
      <c r="I229" t="s">
        <v>532</v>
      </c>
      <c r="J229" t="s">
        <v>533</v>
      </c>
      <c r="K229" t="s">
        <v>534</v>
      </c>
      <c r="L229">
        <v>45811227</v>
      </c>
      <c r="N229">
        <v>1013</v>
      </c>
      <c r="O229" t="s">
        <v>452</v>
      </c>
      <c r="P229" t="s">
        <v>452</v>
      </c>
      <c r="Q229">
        <v>1</v>
      </c>
      <c r="X229">
        <v>0.01</v>
      </c>
      <c r="Y229">
        <v>0</v>
      </c>
      <c r="Z229">
        <v>86.55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11</v>
      </c>
      <c r="AG229">
        <v>1.2500000000000001E-2</v>
      </c>
      <c r="AH229">
        <v>2</v>
      </c>
      <c r="AI229">
        <v>50212130</v>
      </c>
      <c r="AJ229">
        <v>234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ROW(Source!A424)</f>
        <v>424</v>
      </c>
      <c r="B230">
        <v>50212139</v>
      </c>
      <c r="C230">
        <v>50212124</v>
      </c>
      <c r="D230">
        <v>45830078</v>
      </c>
      <c r="E230">
        <v>1</v>
      </c>
      <c r="F230">
        <v>1</v>
      </c>
      <c r="G230">
        <v>1</v>
      </c>
      <c r="H230">
        <v>3</v>
      </c>
      <c r="I230" t="s">
        <v>633</v>
      </c>
      <c r="J230" t="s">
        <v>634</v>
      </c>
      <c r="K230" t="s">
        <v>635</v>
      </c>
      <c r="L230">
        <v>1348</v>
      </c>
      <c r="N230">
        <v>1009</v>
      </c>
      <c r="O230" t="s">
        <v>190</v>
      </c>
      <c r="P230" t="s">
        <v>190</v>
      </c>
      <c r="Q230">
        <v>1000</v>
      </c>
      <c r="X230">
        <v>1.2E-2</v>
      </c>
      <c r="Y230">
        <v>14566.41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1.2E-2</v>
      </c>
      <c r="AH230">
        <v>2</v>
      </c>
      <c r="AI230">
        <v>50212131</v>
      </c>
      <c r="AJ230">
        <v>235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ROW(Source!A424)</f>
        <v>424</v>
      </c>
      <c r="B231">
        <v>50212140</v>
      </c>
      <c r="C231">
        <v>50212124</v>
      </c>
      <c r="D231">
        <v>45830135</v>
      </c>
      <c r="E231">
        <v>1</v>
      </c>
      <c r="F231">
        <v>1</v>
      </c>
      <c r="G231">
        <v>1</v>
      </c>
      <c r="H231">
        <v>3</v>
      </c>
      <c r="I231" t="s">
        <v>636</v>
      </c>
      <c r="J231" t="s">
        <v>637</v>
      </c>
      <c r="K231" t="s">
        <v>638</v>
      </c>
      <c r="L231">
        <v>1348</v>
      </c>
      <c r="N231">
        <v>1009</v>
      </c>
      <c r="O231" t="s">
        <v>190</v>
      </c>
      <c r="P231" t="s">
        <v>190</v>
      </c>
      <c r="Q231">
        <v>1000</v>
      </c>
      <c r="X231">
        <v>2E-3</v>
      </c>
      <c r="Y231">
        <v>7123.57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2E-3</v>
      </c>
      <c r="AH231">
        <v>2</v>
      </c>
      <c r="AI231">
        <v>50212132</v>
      </c>
      <c r="AJ231">
        <v>236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ROW(Source!A425)</f>
        <v>425</v>
      </c>
      <c r="B232">
        <v>50212150</v>
      </c>
      <c r="C232">
        <v>50212141</v>
      </c>
      <c r="D232">
        <v>45975106</v>
      </c>
      <c r="E232">
        <v>1</v>
      </c>
      <c r="F232">
        <v>1</v>
      </c>
      <c r="G232">
        <v>1</v>
      </c>
      <c r="H232">
        <v>1</v>
      </c>
      <c r="I232" t="s">
        <v>639</v>
      </c>
      <c r="J232" t="s">
        <v>3</v>
      </c>
      <c r="K232" t="s">
        <v>640</v>
      </c>
      <c r="L232">
        <v>1476</v>
      </c>
      <c r="N232">
        <v>1013</v>
      </c>
      <c r="O232" t="s">
        <v>447</v>
      </c>
      <c r="P232" t="s">
        <v>448</v>
      </c>
      <c r="Q232">
        <v>1</v>
      </c>
      <c r="X232">
        <v>3.83</v>
      </c>
      <c r="Y232">
        <v>0</v>
      </c>
      <c r="Z232">
        <v>0</v>
      </c>
      <c r="AA232">
        <v>0</v>
      </c>
      <c r="AB232">
        <v>7.38</v>
      </c>
      <c r="AC232">
        <v>0</v>
      </c>
      <c r="AD232">
        <v>1</v>
      </c>
      <c r="AE232">
        <v>1</v>
      </c>
      <c r="AF232" t="s">
        <v>12</v>
      </c>
      <c r="AG232">
        <v>4.4044999999999996</v>
      </c>
      <c r="AH232">
        <v>2</v>
      </c>
      <c r="AI232">
        <v>50212142</v>
      </c>
      <c r="AJ232">
        <v>237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ROW(Source!A425)</f>
        <v>425</v>
      </c>
      <c r="B233">
        <v>50212151</v>
      </c>
      <c r="C233">
        <v>50212141</v>
      </c>
      <c r="D233">
        <v>121548</v>
      </c>
      <c r="E233">
        <v>1</v>
      </c>
      <c r="F233">
        <v>1</v>
      </c>
      <c r="G233">
        <v>1</v>
      </c>
      <c r="H233">
        <v>1</v>
      </c>
      <c r="I233" t="s">
        <v>25</v>
      </c>
      <c r="J233" t="s">
        <v>3</v>
      </c>
      <c r="K233" t="s">
        <v>463</v>
      </c>
      <c r="L233">
        <v>608254</v>
      </c>
      <c r="N233">
        <v>1013</v>
      </c>
      <c r="O233" t="s">
        <v>464</v>
      </c>
      <c r="P233" t="s">
        <v>464</v>
      </c>
      <c r="Q233">
        <v>1</v>
      </c>
      <c r="X233">
        <v>0.01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2</v>
      </c>
      <c r="AF233" t="s">
        <v>11</v>
      </c>
      <c r="AG233">
        <v>1.2500000000000001E-2</v>
      </c>
      <c r="AH233">
        <v>2</v>
      </c>
      <c r="AI233">
        <v>50212143</v>
      </c>
      <c r="AJ233">
        <v>238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ROW(Source!A425)</f>
        <v>425</v>
      </c>
      <c r="B234">
        <v>50212152</v>
      </c>
      <c r="C234">
        <v>50212141</v>
      </c>
      <c r="D234">
        <v>45811426</v>
      </c>
      <c r="E234">
        <v>1</v>
      </c>
      <c r="F234">
        <v>1</v>
      </c>
      <c r="G234">
        <v>1</v>
      </c>
      <c r="H234">
        <v>2</v>
      </c>
      <c r="I234" t="s">
        <v>498</v>
      </c>
      <c r="J234" t="s">
        <v>499</v>
      </c>
      <c r="K234" t="s">
        <v>500</v>
      </c>
      <c r="L234">
        <v>45811227</v>
      </c>
      <c r="N234">
        <v>1013</v>
      </c>
      <c r="O234" t="s">
        <v>452</v>
      </c>
      <c r="P234" t="s">
        <v>452</v>
      </c>
      <c r="Q234">
        <v>1</v>
      </c>
      <c r="X234">
        <v>0.01</v>
      </c>
      <c r="Y234">
        <v>0</v>
      </c>
      <c r="Z234">
        <v>89.81</v>
      </c>
      <c r="AA234">
        <v>9.8800000000000008</v>
      </c>
      <c r="AB234">
        <v>0</v>
      </c>
      <c r="AC234">
        <v>0</v>
      </c>
      <c r="AD234">
        <v>1</v>
      </c>
      <c r="AE234">
        <v>0</v>
      </c>
      <c r="AF234" t="s">
        <v>11</v>
      </c>
      <c r="AG234">
        <v>1.2500000000000001E-2</v>
      </c>
      <c r="AH234">
        <v>2</v>
      </c>
      <c r="AI234">
        <v>50212144</v>
      </c>
      <c r="AJ234">
        <v>239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ROW(Source!A425)</f>
        <v>425</v>
      </c>
      <c r="B235">
        <v>50212153</v>
      </c>
      <c r="C235">
        <v>50212141</v>
      </c>
      <c r="D235">
        <v>45811450</v>
      </c>
      <c r="E235">
        <v>1</v>
      </c>
      <c r="F235">
        <v>1</v>
      </c>
      <c r="G235">
        <v>1</v>
      </c>
      <c r="H235">
        <v>2</v>
      </c>
      <c r="I235" t="s">
        <v>627</v>
      </c>
      <c r="J235" t="s">
        <v>628</v>
      </c>
      <c r="K235" t="s">
        <v>629</v>
      </c>
      <c r="L235">
        <v>45811227</v>
      </c>
      <c r="N235">
        <v>1013</v>
      </c>
      <c r="O235" t="s">
        <v>452</v>
      </c>
      <c r="P235" t="s">
        <v>452</v>
      </c>
      <c r="Q235">
        <v>1</v>
      </c>
      <c r="X235">
        <v>0.01</v>
      </c>
      <c r="Y235">
        <v>0</v>
      </c>
      <c r="Z235">
        <v>1.7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11</v>
      </c>
      <c r="AG235">
        <v>1.2500000000000001E-2</v>
      </c>
      <c r="AH235">
        <v>2</v>
      </c>
      <c r="AI235">
        <v>50212145</v>
      </c>
      <c r="AJ235">
        <v>240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ROW(Source!A425)</f>
        <v>425</v>
      </c>
      <c r="B236">
        <v>50212154</v>
      </c>
      <c r="C236">
        <v>50212141</v>
      </c>
      <c r="D236">
        <v>45813107</v>
      </c>
      <c r="E236">
        <v>1</v>
      </c>
      <c r="F236">
        <v>1</v>
      </c>
      <c r="G236">
        <v>1</v>
      </c>
      <c r="H236">
        <v>2</v>
      </c>
      <c r="I236" t="s">
        <v>630</v>
      </c>
      <c r="J236" t="s">
        <v>631</v>
      </c>
      <c r="K236" t="s">
        <v>632</v>
      </c>
      <c r="L236">
        <v>45811227</v>
      </c>
      <c r="N236">
        <v>1013</v>
      </c>
      <c r="O236" t="s">
        <v>452</v>
      </c>
      <c r="P236" t="s">
        <v>452</v>
      </c>
      <c r="Q236">
        <v>1</v>
      </c>
      <c r="X236">
        <v>0.65</v>
      </c>
      <c r="Y236">
        <v>0</v>
      </c>
      <c r="Z236">
        <v>6.82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11</v>
      </c>
      <c r="AG236">
        <v>0.8125</v>
      </c>
      <c r="AH236">
        <v>2</v>
      </c>
      <c r="AI236">
        <v>50212146</v>
      </c>
      <c r="AJ236">
        <v>241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ROW(Source!A425)</f>
        <v>425</v>
      </c>
      <c r="B237">
        <v>50212155</v>
      </c>
      <c r="C237">
        <v>50212141</v>
      </c>
      <c r="D237">
        <v>45813321</v>
      </c>
      <c r="E237">
        <v>1</v>
      </c>
      <c r="F237">
        <v>1</v>
      </c>
      <c r="G237">
        <v>1</v>
      </c>
      <c r="H237">
        <v>2</v>
      </c>
      <c r="I237" t="s">
        <v>532</v>
      </c>
      <c r="J237" t="s">
        <v>533</v>
      </c>
      <c r="K237" t="s">
        <v>534</v>
      </c>
      <c r="L237">
        <v>45811227</v>
      </c>
      <c r="N237">
        <v>1013</v>
      </c>
      <c r="O237" t="s">
        <v>452</v>
      </c>
      <c r="P237" t="s">
        <v>452</v>
      </c>
      <c r="Q237">
        <v>1</v>
      </c>
      <c r="X237">
        <v>0.01</v>
      </c>
      <c r="Y237">
        <v>0</v>
      </c>
      <c r="Z237">
        <v>86.55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11</v>
      </c>
      <c r="AG237">
        <v>1.2500000000000001E-2</v>
      </c>
      <c r="AH237">
        <v>2</v>
      </c>
      <c r="AI237">
        <v>50212147</v>
      </c>
      <c r="AJ237">
        <v>242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ROW(Source!A425)</f>
        <v>425</v>
      </c>
      <c r="B238">
        <v>50212156</v>
      </c>
      <c r="C238">
        <v>50212141</v>
      </c>
      <c r="D238">
        <v>45815764</v>
      </c>
      <c r="E238">
        <v>1</v>
      </c>
      <c r="F238">
        <v>1</v>
      </c>
      <c r="G238">
        <v>1</v>
      </c>
      <c r="H238">
        <v>3</v>
      </c>
      <c r="I238" t="s">
        <v>641</v>
      </c>
      <c r="J238" t="s">
        <v>642</v>
      </c>
      <c r="K238" t="s">
        <v>643</v>
      </c>
      <c r="L238">
        <v>1348</v>
      </c>
      <c r="N238">
        <v>1009</v>
      </c>
      <c r="O238" t="s">
        <v>190</v>
      </c>
      <c r="P238" t="s">
        <v>190</v>
      </c>
      <c r="Q238">
        <v>1000</v>
      </c>
      <c r="X238">
        <v>1.4E-3</v>
      </c>
      <c r="Y238">
        <v>6179.8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1.4E-3</v>
      </c>
      <c r="AH238">
        <v>2</v>
      </c>
      <c r="AI238">
        <v>50212148</v>
      </c>
      <c r="AJ238">
        <v>243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ROW(Source!A425)</f>
        <v>425</v>
      </c>
      <c r="B239">
        <v>50212157</v>
      </c>
      <c r="C239">
        <v>50212141</v>
      </c>
      <c r="D239">
        <v>45830315</v>
      </c>
      <c r="E239">
        <v>1</v>
      </c>
      <c r="F239">
        <v>1</v>
      </c>
      <c r="G239">
        <v>1</v>
      </c>
      <c r="H239">
        <v>3</v>
      </c>
      <c r="I239" t="s">
        <v>644</v>
      </c>
      <c r="J239" t="s">
        <v>645</v>
      </c>
      <c r="K239" t="s">
        <v>646</v>
      </c>
      <c r="L239">
        <v>1348</v>
      </c>
      <c r="N239">
        <v>1009</v>
      </c>
      <c r="O239" t="s">
        <v>190</v>
      </c>
      <c r="P239" t="s">
        <v>190</v>
      </c>
      <c r="Q239">
        <v>1000</v>
      </c>
      <c r="X239">
        <v>1.9E-2</v>
      </c>
      <c r="Y239">
        <v>14117.37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1.9E-2</v>
      </c>
      <c r="AH239">
        <v>2</v>
      </c>
      <c r="AI239">
        <v>50212149</v>
      </c>
      <c r="AJ239">
        <v>244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Смета 11 граф c НР и СП</vt:lpstr>
      <vt:lpstr>Ведомость объемов работ</vt:lpstr>
      <vt:lpstr>Source</vt:lpstr>
      <vt:lpstr>SourceObSm</vt:lpstr>
      <vt:lpstr>SmtRes</vt:lpstr>
      <vt:lpstr>EtalonRes</vt:lpstr>
      <vt:lpstr>'Ведомость объемов работ'!Заголовки_для_печати</vt:lpstr>
      <vt:lpstr>'Смета 11 граф c НР и СП'!Заголовки_для_печати</vt:lpstr>
      <vt:lpstr>'Ведомость объемов работ'!Область_печати</vt:lpstr>
      <vt:lpstr>'Смета 11 граф c НР и СП'!Область_печати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2020-11-12T11:12:45Z</cp:lastPrinted>
  <dcterms:created xsi:type="dcterms:W3CDTF">2020-11-12T11:10:06Z</dcterms:created>
  <dcterms:modified xsi:type="dcterms:W3CDTF">2020-11-13T12:30:11Z</dcterms:modified>
</cp:coreProperties>
</file>